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Dokumenty\FUNDACJA PIEM\ERASMUS +\EBOOK\"/>
    </mc:Choice>
  </mc:AlternateContent>
  <xr:revisionPtr revIDLastSave="0" documentId="8_{5AE75790-B59C-445F-BC75-60ADA039AD64}" xr6:coauthVersionLast="47" xr6:coauthVersionMax="47" xr10:uidLastSave="{00000000-0000-0000-0000-000000000000}"/>
  <bookViews>
    <workbookView xWindow="-108" yWindow="-108" windowWidth="23256" windowHeight="12456" tabRatio="748" xr2:uid="{00000000-000D-0000-FFFF-FFFF00000000}"/>
  </bookViews>
  <sheets>
    <sheet name="Data" sheetId="19" r:id="rId1"/>
    <sheet name="WACC" sheetId="12" r:id="rId2"/>
    <sheet name="NOI_FCFF" sheetId="28" r:id="rId3"/>
    <sheet name="Sector" sheetId="16" r:id="rId4"/>
    <sheet name="Location " sheetId="22" r:id="rId5"/>
    <sheet name="Detailed location" sheetId="23" r:id="rId6"/>
    <sheet name="Standard" sheetId="25" r:id="rId7"/>
    <sheet name="Tenants" sheetId="26" r:id="rId8"/>
    <sheet name="Construction" sheetId="27" r:id="rId9"/>
    <sheet name="Growth" sheetId="30" r:id="rId10"/>
  </sheets>
  <definedNames>
    <definedName name="_xlnm.Print_Area" localSheetId="8">Construction!$A$1:$G$5</definedName>
    <definedName name="_xlnm.Print_Area" localSheetId="0">Data!$B$1:$Q$22</definedName>
    <definedName name="_xlnm.Print_Area" localSheetId="5">'Detailed location'!$A$1:$C$6</definedName>
    <definedName name="_xlnm.Print_Area" localSheetId="9">Growth!$A$1:$O$7</definedName>
    <definedName name="_xlnm.Print_Area" localSheetId="4">'Location '!$A$1:$C$11</definedName>
    <definedName name="_xlnm.Print_Area" localSheetId="2">NOI_FCFF!$A$1:$H$143</definedName>
    <definedName name="_xlnm.Print_Area" localSheetId="3">Sector!$A$1:$C$7</definedName>
    <definedName name="_xlnm.Print_Area" localSheetId="6">Standard!$A$1:$C$7</definedName>
    <definedName name="_xlnm.Print_Area" localSheetId="7">Tenants!$A$1:$C$6</definedName>
    <definedName name="_xlnm.Print_Area" localSheetId="1">WACC!$C$1:$I$40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30" l="1"/>
  <c r="L4" i="30"/>
  <c r="K4" i="30"/>
  <c r="J4" i="30"/>
  <c r="I4" i="30"/>
  <c r="H4" i="30"/>
  <c r="G4" i="30"/>
  <c r="F4" i="30"/>
  <c r="E4" i="30"/>
  <c r="N3" i="30"/>
  <c r="L3" i="30"/>
  <c r="E3" i="30"/>
  <c r="K2" i="30"/>
  <c r="J2" i="30"/>
  <c r="I2" i="30"/>
  <c r="H2" i="30"/>
  <c r="G2" i="30"/>
  <c r="F2" i="30"/>
  <c r="E2" i="30"/>
  <c r="D2" i="30"/>
  <c r="C2" i="30"/>
  <c r="B6" i="26"/>
  <c r="C5" i="26"/>
  <c r="C4" i="26"/>
  <c r="B3" i="26"/>
  <c r="C3" i="26" s="1"/>
  <c r="B7" i="25"/>
  <c r="C6" i="25"/>
  <c r="C5" i="25"/>
  <c r="C4" i="25"/>
  <c r="C3" i="25"/>
  <c r="B6" i="23"/>
  <c r="C5" i="23"/>
  <c r="C4" i="23"/>
  <c r="C3" i="23"/>
  <c r="B22" i="22"/>
  <c r="C21" i="22"/>
  <c r="C20" i="22"/>
  <c r="C19" i="22"/>
  <c r="C18" i="22"/>
  <c r="C17" i="22"/>
  <c r="C16" i="22"/>
  <c r="C15" i="22"/>
  <c r="B11" i="22"/>
  <c r="C4" i="22" s="1"/>
  <c r="B7" i="16"/>
  <c r="C6" i="16"/>
  <c r="C5" i="16"/>
  <c r="C4" i="16"/>
  <c r="C3" i="16"/>
  <c r="H141" i="28"/>
  <c r="G141" i="28"/>
  <c r="H140" i="28"/>
  <c r="G140" i="28"/>
  <c r="H139" i="28"/>
  <c r="G139" i="28"/>
  <c r="C139" i="28"/>
  <c r="D137" i="28"/>
  <c r="G137" i="28" s="1"/>
  <c r="H136" i="28"/>
  <c r="G136" i="28"/>
  <c r="H135" i="28"/>
  <c r="G135" i="28"/>
  <c r="H134" i="28"/>
  <c r="G134" i="28"/>
  <c r="H133" i="28"/>
  <c r="G133" i="28"/>
  <c r="H132" i="28"/>
  <c r="G132" i="28"/>
  <c r="H131" i="28"/>
  <c r="G131" i="28"/>
  <c r="H130" i="28"/>
  <c r="G130" i="28"/>
  <c r="H129" i="28"/>
  <c r="G129" i="28"/>
  <c r="G128" i="28"/>
  <c r="G127" i="28"/>
  <c r="G126" i="28"/>
  <c r="G125" i="28"/>
  <c r="G124" i="28"/>
  <c r="G123" i="28"/>
  <c r="G114" i="28"/>
  <c r="H105" i="28"/>
  <c r="G105" i="28"/>
  <c r="H104" i="28"/>
  <c r="G104" i="28"/>
  <c r="H103" i="28"/>
  <c r="G103" i="28"/>
  <c r="C103" i="28"/>
  <c r="D101" i="28"/>
  <c r="G101" i="28" s="1"/>
  <c r="G102" i="28" s="1"/>
  <c r="H100" i="28"/>
  <c r="G100" i="28"/>
  <c r="H99" i="28"/>
  <c r="G99" i="28"/>
  <c r="H98" i="28"/>
  <c r="G98" i="28"/>
  <c r="H97" i="28"/>
  <c r="G97" i="28"/>
  <c r="H96" i="28"/>
  <c r="G96" i="28"/>
  <c r="H95" i="28"/>
  <c r="G95" i="28"/>
  <c r="H94" i="28"/>
  <c r="G94" i="28"/>
  <c r="H93" i="28"/>
  <c r="G93" i="28"/>
  <c r="G92" i="28"/>
  <c r="G91" i="28"/>
  <c r="G90" i="28"/>
  <c r="G89" i="28"/>
  <c r="G88" i="28"/>
  <c r="G87" i="28"/>
  <c r="G78" i="28"/>
  <c r="H69" i="28"/>
  <c r="G69" i="28"/>
  <c r="H68" i="28"/>
  <c r="G68" i="28"/>
  <c r="H67" i="28"/>
  <c r="G67" i="28"/>
  <c r="C67" i="28"/>
  <c r="D65" i="28"/>
  <c r="G65" i="28" s="1"/>
  <c r="H64" i="28"/>
  <c r="G64" i="28"/>
  <c r="H63" i="28"/>
  <c r="G63" i="28"/>
  <c r="H62" i="28"/>
  <c r="G62" i="28"/>
  <c r="H61" i="28"/>
  <c r="G61" i="28"/>
  <c r="H60" i="28"/>
  <c r="G60" i="28"/>
  <c r="H59" i="28"/>
  <c r="G59" i="28"/>
  <c r="H58" i="28"/>
  <c r="G58" i="28"/>
  <c r="H57" i="28"/>
  <c r="G57" i="28"/>
  <c r="G56" i="28"/>
  <c r="G55" i="28"/>
  <c r="G54" i="28"/>
  <c r="G53" i="28"/>
  <c r="G52" i="28"/>
  <c r="G51" i="28"/>
  <c r="G42" i="28"/>
  <c r="G40" i="28"/>
  <c r="H33" i="28"/>
  <c r="G33" i="28"/>
  <c r="H32" i="28"/>
  <c r="G32" i="28"/>
  <c r="H31" i="28"/>
  <c r="G31" i="28"/>
  <c r="C31" i="28"/>
  <c r="D29" i="28"/>
  <c r="G29" i="28" s="1"/>
  <c r="H28" i="28"/>
  <c r="G28" i="28"/>
  <c r="H27" i="28"/>
  <c r="G27" i="28"/>
  <c r="H26" i="28"/>
  <c r="G26" i="28"/>
  <c r="H25" i="28"/>
  <c r="G25" i="28"/>
  <c r="H24" i="28"/>
  <c r="G24" i="28"/>
  <c r="H23" i="28"/>
  <c r="G23" i="28"/>
  <c r="H22" i="28"/>
  <c r="G22" i="28"/>
  <c r="H21" i="28"/>
  <c r="G21" i="28"/>
  <c r="G20" i="28"/>
  <c r="G19" i="28"/>
  <c r="G18" i="28"/>
  <c r="G17" i="28"/>
  <c r="G16" i="28"/>
  <c r="G15" i="28"/>
  <c r="G6" i="28"/>
  <c r="G4" i="28"/>
  <c r="G3" i="28"/>
  <c r="E38" i="12"/>
  <c r="D38" i="12"/>
  <c r="F28" i="19" s="1"/>
  <c r="E35" i="12"/>
  <c r="D35" i="12"/>
  <c r="C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D25" i="12"/>
  <c r="C25" i="12"/>
  <c r="D24" i="12"/>
  <c r="C24" i="12"/>
  <c r="D19" i="12"/>
  <c r="D18" i="12"/>
  <c r="D16" i="12"/>
  <c r="E11" i="12"/>
  <c r="D11" i="12"/>
  <c r="C11" i="12"/>
  <c r="D10" i="12"/>
  <c r="D9" i="12" s="1"/>
  <c r="C10" i="12"/>
  <c r="D8" i="12"/>
  <c r="C8" i="12"/>
  <c r="D7" i="12"/>
  <c r="C7" i="12"/>
  <c r="E6" i="12"/>
  <c r="D6" i="12"/>
  <c r="C6" i="12"/>
  <c r="E2" i="12"/>
  <c r="A20" i="19"/>
  <c r="D19" i="19"/>
  <c r="D34" i="12" s="1"/>
  <c r="D18" i="19"/>
  <c r="D33" i="12" s="1"/>
  <c r="D17" i="19"/>
  <c r="D16" i="19"/>
  <c r="D31" i="12" s="1"/>
  <c r="D15" i="19"/>
  <c r="D30" i="12" s="1"/>
  <c r="D14" i="19"/>
  <c r="D29" i="12" s="1"/>
  <c r="D32" i="12" l="1"/>
  <c r="C7" i="22"/>
  <c r="C9" i="22"/>
  <c r="C6" i="22"/>
  <c r="C3" i="22"/>
  <c r="C5" i="22"/>
  <c r="C8" i="22"/>
  <c r="D36" i="12"/>
  <c r="D12" i="12"/>
  <c r="D13" i="12" s="1"/>
  <c r="D20" i="12" s="1"/>
  <c r="C3" i="27" s="1"/>
  <c r="H137" i="28"/>
  <c r="G138" i="28"/>
  <c r="G30" i="28"/>
  <c r="H29" i="28"/>
  <c r="G66" i="28"/>
  <c r="H65" i="28"/>
  <c r="G106" i="28"/>
  <c r="H102" i="28"/>
  <c r="H101" i="28"/>
  <c r="F26" i="19"/>
  <c r="G107" i="28" l="1"/>
  <c r="H106" i="28"/>
  <c r="G142" i="28"/>
  <c r="H138" i="28"/>
  <c r="G70" i="28"/>
  <c r="H66" i="28"/>
  <c r="G34" i="28"/>
  <c r="H30" i="28"/>
  <c r="D21" i="12"/>
  <c r="D26" i="12" s="1"/>
  <c r="D37" i="12" s="1"/>
  <c r="C4" i="27"/>
  <c r="D3" i="27"/>
  <c r="G71" i="28" l="1"/>
  <c r="H70" i="28"/>
  <c r="H34" i="28"/>
  <c r="G35" i="28"/>
  <c r="G143" i="28"/>
  <c r="H142" i="28"/>
  <c r="F25" i="19"/>
  <c r="F27" i="19" s="1"/>
  <c r="F29" i="19" s="1"/>
  <c r="D40" i="12"/>
  <c r="D39" i="12"/>
  <c r="C5" i="27"/>
  <c r="D5" i="27" s="1"/>
  <c r="E5" i="27" s="1"/>
  <c r="D4" i="27"/>
  <c r="E4" i="27" s="1"/>
  <c r="E44" i="12" l="1"/>
</calcChain>
</file>

<file path=xl/sharedStrings.xml><?xml version="1.0" encoding="utf-8"?>
<sst xmlns="http://schemas.openxmlformats.org/spreadsheetml/2006/main" count="731" uniqueCount="267">
  <si>
    <t>Obłożenie</t>
  </si>
  <si>
    <t>`</t>
  </si>
  <si>
    <t>A</t>
  </si>
  <si>
    <t>B</t>
  </si>
  <si>
    <t>C</t>
  </si>
  <si>
    <t>Rok</t>
  </si>
  <si>
    <t>CAPM</t>
  </si>
  <si>
    <t>Premia za ryzyko (Rm-Rf)</t>
  </si>
  <si>
    <r>
      <t>Beta odlewarowana dla REIT EUROPE (</t>
    </r>
    <r>
      <rPr>
        <sz val="10"/>
        <rFont val="Arial Narrow"/>
        <family val="2"/>
        <charset val="238"/>
      </rPr>
      <t>β</t>
    </r>
    <r>
      <rPr>
        <vertAlign val="subscript"/>
        <sz val="10"/>
        <rFont val="Arial Narrow"/>
        <family val="2"/>
        <charset val="238"/>
      </rPr>
      <t>u</t>
    </r>
    <r>
      <rPr>
        <sz val="10"/>
        <rFont val="Arial Narrow"/>
        <family val="2"/>
        <charset val="238"/>
      </rPr>
      <t>)</t>
    </r>
  </si>
  <si>
    <t>Stawka podatku dochodowego (tc)</t>
  </si>
  <si>
    <r>
      <t>Beta lewarowana dla RE EUROPA (β</t>
    </r>
    <r>
      <rPr>
        <vertAlign val="subscript"/>
        <sz val="10"/>
        <rFont val="Arial CE"/>
        <charset val="238"/>
      </rPr>
      <t>l</t>
    </r>
    <r>
      <rPr>
        <sz val="11"/>
        <color theme="1"/>
        <rFont val="Calibri"/>
        <family val="2"/>
        <charset val="238"/>
        <scheme val="minor"/>
      </rPr>
      <t>)</t>
    </r>
  </si>
  <si>
    <r>
      <t>CAPM dla inwestycji w segment nieruchomości (spółki notowane na giełdach) (R</t>
    </r>
    <r>
      <rPr>
        <b/>
        <vertAlign val="subscript"/>
        <sz val="10"/>
        <rFont val="Arial CE"/>
        <charset val="238"/>
      </rPr>
      <t>e</t>
    </r>
    <r>
      <rPr>
        <b/>
        <sz val="10"/>
        <rFont val="Arial CE"/>
        <charset val="238"/>
      </rPr>
      <t>)</t>
    </r>
  </si>
  <si>
    <t>WACC</t>
  </si>
  <si>
    <t>Marża</t>
  </si>
  <si>
    <t>średnia, raport JLL, analizy własne</t>
  </si>
  <si>
    <r>
      <t>Koszt kapitału obcego (R</t>
    </r>
    <r>
      <rPr>
        <vertAlign val="subscript"/>
        <sz val="10"/>
        <rFont val="Arial CE"/>
        <charset val="238"/>
      </rPr>
      <t>d</t>
    </r>
    <r>
      <rPr>
        <sz val="11"/>
        <color theme="1"/>
        <rFont val="Calibri"/>
        <family val="2"/>
        <charset val="238"/>
        <scheme val="minor"/>
      </rPr>
      <t>)</t>
    </r>
  </si>
  <si>
    <t>WACC dla inwestycji w sektorze nieruchomości (spółki notowane na giełdach)</t>
  </si>
  <si>
    <t xml:space="preserve">Korekty stopy dyskontowej </t>
  </si>
  <si>
    <r>
      <t>Wskaźnik za małą płynność (W</t>
    </r>
    <r>
      <rPr>
        <vertAlign val="subscript"/>
        <sz val="10"/>
        <rFont val="Arial CE"/>
        <charset val="238"/>
      </rPr>
      <t>DP</t>
    </r>
    <r>
      <rPr>
        <sz val="11"/>
        <color theme="1"/>
        <rFont val="Calibri"/>
        <family val="2"/>
        <charset val="238"/>
        <scheme val="minor"/>
      </rPr>
      <t>)</t>
    </r>
  </si>
  <si>
    <r>
      <t>Wskaźnik dostosowania wyniku (W</t>
    </r>
    <r>
      <rPr>
        <vertAlign val="subscript"/>
        <sz val="10"/>
        <rFont val="Arial CE"/>
        <charset val="238"/>
      </rPr>
      <t>DW</t>
    </r>
    <r>
      <rPr>
        <sz val="11"/>
        <color theme="1"/>
        <rFont val="Calibri"/>
        <family val="2"/>
        <charset val="238"/>
        <scheme val="minor"/>
      </rPr>
      <t>)</t>
    </r>
  </si>
  <si>
    <r>
      <t>Stopa dyskontowa dla inwestycji rynku nieruchomości dostoswana do DON (r</t>
    </r>
    <r>
      <rPr>
        <b/>
        <vertAlign val="subscript"/>
        <sz val="10"/>
        <rFont val="Arial CE"/>
        <charset val="238"/>
      </rPr>
      <t>dn</t>
    </r>
    <r>
      <rPr>
        <b/>
        <sz val="10"/>
        <rFont val="Arial CE"/>
        <charset val="238"/>
      </rPr>
      <t>)</t>
    </r>
  </si>
  <si>
    <t>Ryzyko specyficzne wycenianej nieruchomości</t>
  </si>
  <si>
    <t>Sektor nieruchomości (s)</t>
  </si>
  <si>
    <r>
      <t>Lokalizacja ogólna (położenie w kraju) (l</t>
    </r>
    <r>
      <rPr>
        <vertAlign val="subscript"/>
        <sz val="10"/>
        <rFont val="Arial CE"/>
        <charset val="238"/>
      </rPr>
      <t>o</t>
    </r>
    <r>
      <rPr>
        <sz val="11"/>
        <color theme="1"/>
        <rFont val="Calibri"/>
        <family val="2"/>
        <charset val="238"/>
        <scheme val="minor"/>
      </rPr>
      <t>)</t>
    </r>
  </si>
  <si>
    <t>Inne</t>
  </si>
  <si>
    <r>
      <t>Lokalizacja szczegółowa (strefa, dzielnica, sąsiedztwo) (l</t>
    </r>
    <r>
      <rPr>
        <vertAlign val="subscript"/>
        <sz val="10"/>
        <rFont val="Arial CE"/>
        <charset val="238"/>
      </rPr>
      <t>S</t>
    </r>
    <r>
      <rPr>
        <sz val="11"/>
        <color theme="1"/>
        <rFont val="Calibri"/>
        <family val="2"/>
        <charset val="238"/>
        <scheme val="minor"/>
      </rPr>
      <t>)</t>
    </r>
  </si>
  <si>
    <t>Budynek - standard, klasa obiektu, stan techniczny (b)</t>
  </si>
  <si>
    <r>
      <t>Najemcy i warunki umów najmu (n</t>
    </r>
    <r>
      <rPr>
        <vertAlign val="subscript"/>
        <sz val="10"/>
        <rFont val="Arial CE"/>
        <charset val="238"/>
      </rPr>
      <t>a</t>
    </r>
    <r>
      <rPr>
        <sz val="11"/>
        <color theme="1"/>
        <rFont val="Calibri"/>
        <family val="2"/>
        <charset val="238"/>
        <scheme val="minor"/>
      </rPr>
      <t>)</t>
    </r>
  </si>
  <si>
    <r>
      <t>Ryzyko budowlane (b</t>
    </r>
    <r>
      <rPr>
        <vertAlign val="subscript"/>
        <sz val="10"/>
        <rFont val="Arial CE"/>
        <charset val="238"/>
      </rPr>
      <t>u</t>
    </r>
    <r>
      <rPr>
        <sz val="11"/>
        <color theme="1"/>
        <rFont val="Calibri"/>
        <family val="2"/>
        <charset val="238"/>
        <scheme val="minor"/>
      </rPr>
      <t>)</t>
    </r>
  </si>
  <si>
    <r>
      <t>Wskaźnik dostosowania do specyficznego ryzyka wycenianej nieruchomości (W</t>
    </r>
    <r>
      <rPr>
        <b/>
        <vertAlign val="subscript"/>
        <sz val="10"/>
        <rFont val="Arial CE"/>
        <charset val="238"/>
      </rPr>
      <t>DSR)</t>
    </r>
  </si>
  <si>
    <t>Stopa dyskontowa dla nieruchomości wycenianej - dostosowana do DON (nominalna) (r)</t>
  </si>
  <si>
    <t>Stopa kapitalizacji</t>
  </si>
  <si>
    <t>r-g</t>
  </si>
  <si>
    <t>Premia za ryzyko do metody sumowania ryzyka</t>
  </si>
  <si>
    <t>r - Rf</t>
  </si>
  <si>
    <t>http://pages.stern.nyu.edu/~adamodar/</t>
  </si>
  <si>
    <t>Risk Premiums for Other Markets</t>
  </si>
  <si>
    <t>analizy własne, okres amortyzacji 7 lat, prowizja i koszty 2,5%</t>
  </si>
  <si>
    <t>IRS 10L</t>
  </si>
  <si>
    <t>Raport pokazać</t>
  </si>
  <si>
    <t>https://www.santander.pl/serwis-ekonomiczny/codziennik/archiwum</t>
  </si>
  <si>
    <t>EBITDA</t>
  </si>
  <si>
    <t>Amortyzacja</t>
  </si>
  <si>
    <t>EBIT</t>
  </si>
  <si>
    <t>FCFF</t>
  </si>
  <si>
    <t>Levered and Unlevered Betas by Industry</t>
  </si>
  <si>
    <t>Kraków</t>
  </si>
  <si>
    <t>Poznań</t>
  </si>
  <si>
    <t>Szczecin</t>
  </si>
  <si>
    <t>Warszawa</t>
  </si>
  <si>
    <t xml:space="preserve">Wrocław </t>
  </si>
  <si>
    <t>Łódź</t>
  </si>
  <si>
    <t>Lokalizacja szczegółowa</t>
  </si>
  <si>
    <t>Ryzyko budowlane</t>
  </si>
  <si>
    <t>Amortyzacja prowizji i innych kosztów (prowizja/okres amortyzacji)</t>
  </si>
  <si>
    <t>A. Damodaran,</t>
  </si>
  <si>
    <t>A. Damodaran</t>
  </si>
  <si>
    <t>10Y, polskie banki</t>
  </si>
  <si>
    <t>g</t>
  </si>
  <si>
    <t>https://www.nbp.pl/home.aspx?f=/polityka_pieniezna/dokumenty/projekcja_inflacji.html</t>
  </si>
  <si>
    <t>Funkcja nieruchomości</t>
  </si>
  <si>
    <t>Umowy najmu i jakość najemców</t>
  </si>
  <si>
    <r>
      <t>Stopa dyskontowa dla inwestycji rynku nieruchomości dostoswana do DON (r</t>
    </r>
    <r>
      <rPr>
        <vertAlign val="subscript"/>
        <sz val="10"/>
        <rFont val="Arial CE"/>
        <charset val="238"/>
      </rPr>
      <t>dn</t>
    </r>
    <r>
      <rPr>
        <sz val="10"/>
        <rFont val="Arial CE"/>
        <charset val="238"/>
      </rPr>
      <t>)</t>
    </r>
  </si>
  <si>
    <r>
      <t>Wskaźnik dostosowania do specyficznego ryzyka wycenianej nieruchomości (W</t>
    </r>
    <r>
      <rPr>
        <vertAlign val="subscript"/>
        <sz val="10"/>
        <rFont val="Arial CE"/>
        <charset val="238"/>
      </rPr>
      <t>DSR)</t>
    </r>
  </si>
  <si>
    <t>MARKETBEAT Rynek handlowy I kw. 2024 r. CUSHMAN &amp; WAKEFIELD</t>
  </si>
  <si>
    <t>Katowice (Aglomeracja Śląska)</t>
  </si>
  <si>
    <t>Trójmiasto</t>
  </si>
  <si>
    <t>pl-pl-cee-investment-market-prospects-2023 (1)</t>
  </si>
  <si>
    <t>Sector</t>
  </si>
  <si>
    <t>Odchylenie</t>
  </si>
  <si>
    <t>Industrial</t>
  </si>
  <si>
    <t>Office</t>
  </si>
  <si>
    <t>Residential</t>
  </si>
  <si>
    <t>Udział kapitału własnego dla REIT EUROPE €</t>
  </si>
  <si>
    <t>Koszt kapitału obcego</t>
  </si>
  <si>
    <t>Koszt kapitału obcego/Koszt kapitału własnego</t>
  </si>
  <si>
    <t>Yield</t>
  </si>
  <si>
    <t>Berlin</t>
  </si>
  <si>
    <t>Dussledorf</t>
  </si>
  <si>
    <t>Frankfurt</t>
  </si>
  <si>
    <t>Hamburg</t>
  </si>
  <si>
    <t>Cologen</t>
  </si>
  <si>
    <t>Munich</t>
  </si>
  <si>
    <t>Stuttgart</t>
  </si>
  <si>
    <t>Poland</t>
  </si>
  <si>
    <t>Germany</t>
  </si>
  <si>
    <t>Rant EUR/m2</t>
  </si>
  <si>
    <t>Lokalizacja (miasto/region)</t>
  </si>
  <si>
    <t>Stopa wolna od ryzyka dla kraju</t>
  </si>
  <si>
    <t>Standard (klasa, jakość zabudowy)</t>
  </si>
  <si>
    <t>Long-term interest rate, e.g. European Central Bank (ECB)</t>
  </si>
  <si>
    <t>Equity Risk Premium (Rm-Rf)</t>
  </si>
  <si>
    <t>A. Damodaran, Unlevered beta corrected for cash</t>
  </si>
  <si>
    <t>E/(D+E) for REITs from Europe</t>
  </si>
  <si>
    <t>calculated based on data from A. Damodaran</t>
  </si>
  <si>
    <t>Tax Rate (CIT - Corporate Income Tax)</t>
  </si>
  <si>
    <t>Cost of Equity/Cost of Debt</t>
  </si>
  <si>
    <t>Jednostki</t>
  </si>
  <si>
    <t>Stawka czynszu netto</t>
  </si>
  <si>
    <t xml:space="preserve">Stawka opłat eksploatacyjnych </t>
  </si>
  <si>
    <t>Inne wydatki obciążające właściciela</t>
  </si>
  <si>
    <t>Powierzchnia do wynajmu</t>
  </si>
  <si>
    <t>m2</t>
  </si>
  <si>
    <t>Przychód z czynszów dla prognozowanego obłożenia</t>
  </si>
  <si>
    <t>Przychód z opłat ekspl. dla prognozowanego obłożenia</t>
  </si>
  <si>
    <t>Efektywny Dochód Brutto</t>
  </si>
  <si>
    <t xml:space="preserve">Wydatki operacyjne </t>
  </si>
  <si>
    <t>Wydatki razem</t>
  </si>
  <si>
    <t>Dochód Operacyjny Netto</t>
  </si>
  <si>
    <t>Kalkulacja</t>
  </si>
  <si>
    <t>+ Dochód z czynszów dla pełnego obłożenia</t>
  </si>
  <si>
    <t>+ Dochód z opłat eksplotacyjnych dla pełnego obłożenia</t>
  </si>
  <si>
    <t>= Potencjalny Dochód Brutto</t>
  </si>
  <si>
    <t>A+B</t>
  </si>
  <si>
    <t>D</t>
  </si>
  <si>
    <t>E</t>
  </si>
  <si>
    <t>F</t>
  </si>
  <si>
    <t>D+E</t>
  </si>
  <si>
    <t>G</t>
  </si>
  <si>
    <t>H</t>
  </si>
  <si>
    <t>I</t>
  </si>
  <si>
    <t>G+H</t>
  </si>
  <si>
    <t>J</t>
  </si>
  <si>
    <t>F-I</t>
  </si>
  <si>
    <t>K</t>
  </si>
  <si>
    <t>Koszty administracyjne i ogólne</t>
  </si>
  <si>
    <t>N</t>
  </si>
  <si>
    <t>J-M</t>
  </si>
  <si>
    <t>O</t>
  </si>
  <si>
    <t>P</t>
  </si>
  <si>
    <t>N-O</t>
  </si>
  <si>
    <t>T</t>
  </si>
  <si>
    <t>Podatek dochodowy</t>
  </si>
  <si>
    <t>U</t>
  </si>
  <si>
    <t>NOPAT</t>
  </si>
  <si>
    <t>P-T</t>
  </si>
  <si>
    <t>W</t>
  </si>
  <si>
    <t>Y</t>
  </si>
  <si>
    <t>Nakłady inwestycyjne</t>
  </si>
  <si>
    <t>Z</t>
  </si>
  <si>
    <t>X</t>
  </si>
  <si>
    <t>for typical properties (e.g. offices) 1.25, for specific properties 1.3, A. Damodaran, Finanse korporacyjne…, s. 1172–1173.</t>
  </si>
  <si>
    <t>Low liquidity ratio</t>
  </si>
  <si>
    <t>Real estate sector</t>
  </si>
  <si>
    <t>Detailed location of the property (e.g. district)</t>
  </si>
  <si>
    <t>Building standard (class, quality)</t>
  </si>
  <si>
    <t>Quality of tenants, terms of contracts</t>
  </si>
  <si>
    <t>Construction Risk</t>
  </si>
  <si>
    <t>Categories</t>
  </si>
  <si>
    <t>data/calculations</t>
  </si>
  <si>
    <t>Unlevered beta corrected for cash (REIT EUROPE (βu))</t>
  </si>
  <si>
    <t>D/(D+E)</t>
  </si>
  <si>
    <t>calculated as (1 - E)</t>
  </si>
  <si>
    <t>calculated according to the formula</t>
  </si>
  <si>
    <t xml:space="preserve">calculated according to the formula 𝐶𝐴𝑃𝑀=𝑅𝑓+𝛽𝑖 (𝑅𝑚−𝑅𝑓) </t>
  </si>
  <si>
    <t>https://www.ecb.europa.eu/stats/financial_markets_and_interest_rates/long_term_interest_rates/html/index.en.html</t>
  </si>
  <si>
    <t>calculated as (Re x Cost of Equity/Cost of Debt)</t>
  </si>
  <si>
    <t>Levered beta  (REIT EUROPE (βl))</t>
  </si>
  <si>
    <t>Cost of Debt</t>
  </si>
  <si>
    <t xml:space="preserve">calculated according to the formula </t>
  </si>
  <si>
    <t>WACC for real estate investments (for a company listed on the stock exchange)</t>
  </si>
  <si>
    <t>Discount rate adjustments</t>
  </si>
  <si>
    <r>
      <t>Discount rate for real estate investments adjusted to NOI (r</t>
    </r>
    <r>
      <rPr>
        <b/>
        <vertAlign val="subscript"/>
        <sz val="10"/>
        <rFont val="Arial CE"/>
        <charset val="238"/>
      </rPr>
      <t>dn</t>
    </r>
    <r>
      <rPr>
        <b/>
        <sz val="10"/>
        <rFont val="Arial CE"/>
        <charset val="238"/>
      </rPr>
      <t>)</t>
    </r>
  </si>
  <si>
    <t>Specific risk of the valued property</t>
  </si>
  <si>
    <t>Location (city/region)</t>
  </si>
  <si>
    <r>
      <t>calculated as (1+s)(1+l</t>
    </r>
    <r>
      <rPr>
        <b/>
        <vertAlign val="subscript"/>
        <sz val="10"/>
        <rFont val="Arial CE"/>
        <charset val="238"/>
      </rPr>
      <t>o</t>
    </r>
    <r>
      <rPr>
        <b/>
        <sz val="10"/>
        <rFont val="Arial CE"/>
        <charset val="238"/>
      </rPr>
      <t>)(1+l</t>
    </r>
    <r>
      <rPr>
        <b/>
        <vertAlign val="subscript"/>
        <sz val="10"/>
        <rFont val="Arial CE"/>
        <charset val="238"/>
      </rPr>
      <t>s</t>
    </r>
    <r>
      <rPr>
        <b/>
        <sz val="10"/>
        <rFont val="Arial CE"/>
        <charset val="238"/>
      </rPr>
      <t>)(1+b)(1+n</t>
    </r>
    <r>
      <rPr>
        <b/>
        <vertAlign val="subscript"/>
        <sz val="10"/>
        <rFont val="Arial CE"/>
        <charset val="238"/>
      </rPr>
      <t>a</t>
    </r>
    <r>
      <rPr>
        <b/>
        <sz val="10"/>
        <rFont val="Arial CE"/>
        <charset val="238"/>
      </rPr>
      <t>)(1+b</t>
    </r>
    <r>
      <rPr>
        <b/>
        <vertAlign val="subscript"/>
        <sz val="10"/>
        <rFont val="Arial CE"/>
        <charset val="238"/>
      </rPr>
      <t>u</t>
    </r>
    <r>
      <rPr>
        <b/>
        <sz val="10"/>
        <rFont val="Arial CE"/>
        <charset val="238"/>
      </rPr>
      <t>)-1</t>
    </r>
  </si>
  <si>
    <r>
      <t>The indicator of adjustment to the specific risk of the valued property (W</t>
    </r>
    <r>
      <rPr>
        <b/>
        <vertAlign val="subscript"/>
        <sz val="10"/>
        <rFont val="Arial CE"/>
        <charset val="238"/>
      </rPr>
      <t>DSR)</t>
    </r>
  </si>
  <si>
    <t>Discount rate for the valued property - adjusted to NOI (explicit model) (r)</t>
  </si>
  <si>
    <t>g - Growth Rate</t>
  </si>
  <si>
    <t>Capitalization Rate</t>
  </si>
  <si>
    <t>calculated according to the formula NOI/FCFF</t>
  </si>
  <si>
    <t>valuation date</t>
  </si>
  <si>
    <t>Data wyceny</t>
  </si>
  <si>
    <t>Valuation date</t>
  </si>
  <si>
    <t>Service charge rate</t>
  </si>
  <si>
    <t>Net rent rate</t>
  </si>
  <si>
    <t xml:space="preserve">Other expenses </t>
  </si>
  <si>
    <t>Units</t>
  </si>
  <si>
    <t>EUR/m2/miesiąc</t>
  </si>
  <si>
    <t>EUR/ rok</t>
  </si>
  <si>
    <t>EUR</t>
  </si>
  <si>
    <t>Space for lease</t>
  </si>
  <si>
    <t>EUR/m2/month</t>
  </si>
  <si>
    <t>EUR/year</t>
  </si>
  <si>
    <t>Symbols</t>
  </si>
  <si>
    <t>Explanations</t>
  </si>
  <si>
    <t>Potential Gross Income</t>
  </si>
  <si>
    <t>Rent Income (100% Occupancy)</t>
  </si>
  <si>
    <t>Service Charge Income (100% Occupancy)</t>
  </si>
  <si>
    <t>Service Charge Income (Estimated Occupancy)</t>
  </si>
  <si>
    <t>Rent Income (Estimated Occupancy)</t>
  </si>
  <si>
    <t>Occupancy rate (Estimated Occupancy)</t>
  </si>
  <si>
    <t>Operating Expenses</t>
  </si>
  <si>
    <t>Other expenses</t>
  </si>
  <si>
    <t>Total Expenses</t>
  </si>
  <si>
    <t>Net Operating Income</t>
  </si>
  <si>
    <t>Administrative and general expenses</t>
  </si>
  <si>
    <t>Depreciation</t>
  </si>
  <si>
    <t>Tax</t>
  </si>
  <si>
    <t>Capital expenditure (CAPEX)</t>
  </si>
  <si>
    <t>Other outflows</t>
  </si>
  <si>
    <t>Effective Gross Income (EGI)</t>
  </si>
  <si>
    <t>% EGI</t>
  </si>
  <si>
    <t>Depreciation rate</t>
  </si>
  <si>
    <t>Cost of building construction (fixed asset)</t>
  </si>
  <si>
    <t>EUR/m2</t>
  </si>
  <si>
    <t>U+W-Y-Z</t>
  </si>
  <si>
    <t>Capex rate (% NOI)</t>
  </si>
  <si>
    <t>J/X</t>
  </si>
  <si>
    <t>Shopping Center</t>
  </si>
  <si>
    <t>Residential Building</t>
  </si>
  <si>
    <t>see appendix NOI_FCFF</t>
  </si>
  <si>
    <t>Type</t>
  </si>
  <si>
    <t>Class A location</t>
  </si>
  <si>
    <t>Class B location</t>
  </si>
  <si>
    <t>Class C location</t>
  </si>
  <si>
    <t>Average (middle of the range)</t>
  </si>
  <si>
    <t>Deviation</t>
  </si>
  <si>
    <t>NBP</t>
  </si>
  <si>
    <t>Location</t>
  </si>
  <si>
    <t>- Deviation</t>
  </si>
  <si>
    <t>Class A</t>
  </si>
  <si>
    <t>Class B +</t>
  </si>
  <si>
    <t>Class C</t>
  </si>
  <si>
    <t xml:space="preserve">Class B </t>
  </si>
  <si>
    <t>typical situation</t>
  </si>
  <si>
    <t>rate for standard contracts and tenants</t>
  </si>
  <si>
    <t>rate for long-term contracts (10 years) and first-class tenants</t>
  </si>
  <si>
    <t>building requires repositioning</t>
  </si>
  <si>
    <t>building requires renovation</t>
  </si>
  <si>
    <t xml:space="preserve">building does not require renovation </t>
  </si>
  <si>
    <t>Credit Margin</t>
  </si>
  <si>
    <t>Base Interest Rate</t>
  </si>
  <si>
    <t>Interest Rate</t>
  </si>
  <si>
    <t>Year</t>
  </si>
  <si>
    <t>Geometric Average</t>
  </si>
  <si>
    <t>Inflation Target</t>
  </si>
  <si>
    <t>Inflation EUR</t>
  </si>
  <si>
    <t>Inflation PLN</t>
  </si>
  <si>
    <t>https://www.ecb.europa.eu/press/projections/html/index.pl.html</t>
  </si>
  <si>
    <t>Increase to the typical situation</t>
  </si>
  <si>
    <t>Additional Risk</t>
  </si>
  <si>
    <t>PLN</t>
  </si>
  <si>
    <t>Currency/Country</t>
  </si>
  <si>
    <t>Waluta/Kraj</t>
  </si>
  <si>
    <r>
      <t>CAPM for real estate investments (for a company listed on the stock exchange) (R</t>
    </r>
    <r>
      <rPr>
        <b/>
        <vertAlign val="subscript"/>
        <sz val="10"/>
        <rFont val="Arial CE"/>
        <charset val="238"/>
      </rPr>
      <t>e</t>
    </r>
    <r>
      <rPr>
        <b/>
        <sz val="10"/>
        <rFont val="Arial CE"/>
        <charset val="238"/>
      </rPr>
      <t>)</t>
    </r>
  </si>
  <si>
    <t>Geometric mean of forecasted inflation for 10 years</t>
  </si>
  <si>
    <t>E/(D+E) dla REIT z Europy</t>
  </si>
  <si>
    <t>Stopa wolna od ryzyka (Rf)</t>
  </si>
  <si>
    <t>Risk Free Rate (Rf)</t>
  </si>
  <si>
    <t>Data Source</t>
  </si>
  <si>
    <t>Kategoria danych</t>
  </si>
  <si>
    <t>Data</t>
  </si>
  <si>
    <t xml:space="preserve">Other </t>
  </si>
  <si>
    <r>
      <rPr>
        <b/>
        <sz val="11"/>
        <color theme="1"/>
        <rFont val="Calibri"/>
        <family val="2"/>
        <charset val="238"/>
        <scheme val="minor"/>
      </rPr>
      <t>Ceteris paribus</t>
    </r>
    <r>
      <rPr>
        <sz val="11"/>
        <color theme="1"/>
        <rFont val="Calibri"/>
        <family val="2"/>
        <charset val="238"/>
        <scheme val="minor"/>
      </rPr>
      <t xml:space="preserve"> is a latin phrase that generally means "all other things being equal".</t>
    </r>
  </si>
  <si>
    <t>Costs of Capital by Industry Sector</t>
  </si>
  <si>
    <t>Marginal tax rate by country</t>
  </si>
  <si>
    <t>Cost of Debt/Cost of Equity</t>
  </si>
  <si>
    <t>Calculations</t>
  </si>
  <si>
    <t>rate for lower quality contracts and tenants (extrapolation)</t>
  </si>
  <si>
    <t>Result level adjustment ratio (NOI/FCFF)</t>
  </si>
  <si>
    <t>Rent EUR/m2</t>
  </si>
  <si>
    <t>https://citysurvey.colliers.de/en/investment-market/</t>
  </si>
  <si>
    <t>Colliers -  Berlin sc Prime Yield</t>
  </si>
  <si>
    <t>Colliers -  Warsaw office Prime Yield</t>
  </si>
  <si>
    <t>for typical properties (e.g. offices) 1.25, for untypical properties 1.3, A. Damodaran, Finanse korporacyjne…, s. 1172–1173.</t>
  </si>
  <si>
    <t>Risk Premium to Additive Risk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</si>
</sst>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00"/>
    <numFmt numFmtId="166" formatCode="yy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Microsoft Sans Serif"/>
      <family val="2"/>
      <charset val="238"/>
    </font>
    <font>
      <sz val="10"/>
      <name val="Microsoft Sans Serif"/>
      <family val="2"/>
      <charset val="238"/>
    </font>
    <font>
      <b/>
      <sz val="10"/>
      <name val="Arial CE"/>
      <charset val="238"/>
    </font>
    <font>
      <u/>
      <sz val="10"/>
      <color theme="10"/>
      <name val="Arial CE"/>
      <charset val="238"/>
    </font>
    <font>
      <sz val="10"/>
      <name val="Arial Narrow"/>
      <family val="2"/>
      <charset val="238"/>
    </font>
    <font>
      <vertAlign val="subscript"/>
      <sz val="10"/>
      <name val="Arial Narrow"/>
      <family val="2"/>
      <charset val="238"/>
    </font>
    <font>
      <vertAlign val="subscript"/>
      <sz val="10"/>
      <name val="Arial CE"/>
      <charset val="238"/>
    </font>
    <font>
      <b/>
      <vertAlign val="subscript"/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</font>
    <font>
      <sz val="10"/>
      <color theme="1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166" fontId="16" fillId="4" borderId="0" applyNumberFormat="0">
      <alignment horizontal="right" indent="1"/>
    </xf>
    <xf numFmtId="0" fontId="15" fillId="0" borderId="0"/>
    <xf numFmtId="0" fontId="15" fillId="0" borderId="0"/>
    <xf numFmtId="0" fontId="18" fillId="0" borderId="0"/>
    <xf numFmtId="4" fontId="15" fillId="0" borderId="0"/>
  </cellStyleXfs>
  <cellXfs count="164">
    <xf numFmtId="0" fontId="0" fillId="0" borderId="0" xfId="0"/>
    <xf numFmtId="0" fontId="0" fillId="3" borderId="2" xfId="0" applyFill="1" applyBorder="1"/>
    <xf numFmtId="3" fontId="4" fillId="3" borderId="0" xfId="2" applyNumberFormat="1" applyFont="1" applyFill="1"/>
    <xf numFmtId="0" fontId="5" fillId="3" borderId="0" xfId="2" applyFont="1" applyFill="1"/>
    <xf numFmtId="0" fontId="3" fillId="3" borderId="0" xfId="2" applyFill="1"/>
    <xf numFmtId="3" fontId="5" fillId="3" borderId="0" xfId="2" applyNumberFormat="1" applyFont="1" applyFill="1"/>
    <xf numFmtId="0" fontId="5" fillId="3" borderId="0" xfId="2" applyFont="1" applyFill="1" applyAlignment="1">
      <alignment horizontal="center"/>
    </xf>
    <xf numFmtId="0" fontId="5" fillId="3" borderId="8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6" fillId="3" borderId="0" xfId="2" applyFont="1" applyFill="1"/>
    <xf numFmtId="0" fontId="6" fillId="3" borderId="4" xfId="2" applyFont="1" applyFill="1" applyBorder="1"/>
    <xf numFmtId="0" fontId="3" fillId="3" borderId="4" xfId="2" applyFill="1" applyBorder="1"/>
    <xf numFmtId="10" fontId="3" fillId="3" borderId="4" xfId="2" applyNumberFormat="1" applyFill="1" applyBorder="1"/>
    <xf numFmtId="0" fontId="7" fillId="3" borderId="0" xfId="3" applyFill="1" applyBorder="1"/>
    <xf numFmtId="10" fontId="3" fillId="3" borderId="0" xfId="2" applyNumberFormat="1" applyFill="1" applyAlignment="1">
      <alignment horizontal="left"/>
    </xf>
    <xf numFmtId="0" fontId="3" fillId="3" borderId="1" xfId="2" applyFill="1" applyBorder="1"/>
    <xf numFmtId="2" fontId="3" fillId="3" borderId="3" xfId="2" applyNumberFormat="1" applyFill="1" applyBorder="1"/>
    <xf numFmtId="10" fontId="6" fillId="3" borderId="4" xfId="2" applyNumberFormat="1" applyFont="1" applyFill="1" applyBorder="1"/>
    <xf numFmtId="2" fontId="3" fillId="3" borderId="0" xfId="2" applyNumberFormat="1" applyFill="1"/>
    <xf numFmtId="4" fontId="3" fillId="3" borderId="4" xfId="2" applyNumberFormat="1" applyFill="1" applyBorder="1"/>
    <xf numFmtId="10" fontId="6" fillId="3" borderId="4" xfId="5" applyNumberFormat="1" applyFont="1" applyFill="1" applyBorder="1"/>
    <xf numFmtId="10" fontId="0" fillId="3" borderId="0" xfId="5" applyNumberFormat="1" applyFont="1" applyFill="1" applyBorder="1"/>
    <xf numFmtId="165" fontId="6" fillId="3" borderId="0" xfId="2" applyNumberFormat="1" applyFont="1" applyFill="1"/>
    <xf numFmtId="10" fontId="0" fillId="3" borderId="3" xfId="5" applyNumberFormat="1" applyFont="1" applyFill="1" applyBorder="1"/>
    <xf numFmtId="0" fontId="3" fillId="3" borderId="5" xfId="2" applyFill="1" applyBorder="1"/>
    <xf numFmtId="0" fontId="6" fillId="3" borderId="1" xfId="2" applyFont="1" applyFill="1" applyBorder="1"/>
    <xf numFmtId="0" fontId="6" fillId="3" borderId="7" xfId="2" applyFont="1" applyFill="1" applyBorder="1"/>
    <xf numFmtId="10" fontId="3" fillId="3" borderId="0" xfId="2" applyNumberFormat="1" applyFill="1"/>
    <xf numFmtId="0" fontId="0" fillId="3" borderId="0" xfId="0" applyFill="1" applyAlignment="1">
      <alignment horizontal="left"/>
    </xf>
    <xf numFmtId="0" fontId="1" fillId="3" borderId="2" xfId="6" applyFill="1" applyBorder="1"/>
    <xf numFmtId="2" fontId="0" fillId="3" borderId="2" xfId="7" applyNumberFormat="1" applyFont="1" applyFill="1" applyBorder="1"/>
    <xf numFmtId="10" fontId="0" fillId="3" borderId="2" xfId="5" applyNumberFormat="1" applyFont="1" applyFill="1" applyBorder="1"/>
    <xf numFmtId="0" fontId="12" fillId="3" borderId="0" xfId="0" applyFont="1" applyFill="1" applyAlignment="1">
      <alignment horizontal="justify" vertical="center"/>
    </xf>
    <xf numFmtId="10" fontId="1" fillId="2" borderId="2" xfId="6" applyNumberFormat="1" applyFill="1" applyBorder="1"/>
    <xf numFmtId="10" fontId="0" fillId="2" borderId="2" xfId="5" applyNumberFormat="1" applyFont="1" applyFill="1" applyBorder="1"/>
    <xf numFmtId="0" fontId="5" fillId="3" borderId="0" xfId="2" applyFont="1" applyFill="1" applyAlignment="1">
      <alignment horizontal="right"/>
    </xf>
    <xf numFmtId="10" fontId="6" fillId="3" borderId="0" xfId="2" applyNumberFormat="1" applyFont="1" applyFill="1"/>
    <xf numFmtId="0" fontId="0" fillId="2" borderId="0" xfId="0" applyFill="1"/>
    <xf numFmtId="10" fontId="0" fillId="2" borderId="0" xfId="1" applyNumberFormat="1" applyFont="1" applyFill="1"/>
    <xf numFmtId="10" fontId="0" fillId="2" borderId="0" xfId="0" applyNumberFormat="1" applyFill="1"/>
    <xf numFmtId="0" fontId="3" fillId="2" borderId="0" xfId="2" applyFill="1"/>
    <xf numFmtId="0" fontId="3" fillId="2" borderId="1" xfId="2" applyFill="1" applyBorder="1"/>
    <xf numFmtId="0" fontId="0" fillId="2" borderId="1" xfId="0" applyFill="1" applyBorder="1"/>
    <xf numFmtId="10" fontId="1" fillId="2" borderId="1" xfId="5" applyNumberFormat="1" applyFont="1" applyFill="1" applyBorder="1"/>
    <xf numFmtId="0" fontId="13" fillId="2" borderId="0" xfId="2" applyFont="1" applyFill="1"/>
    <xf numFmtId="0" fontId="14" fillId="2" borderId="0" xfId="0" applyFont="1" applyFill="1"/>
    <xf numFmtId="10" fontId="13" fillId="2" borderId="0" xfId="5" applyNumberFormat="1" applyFont="1" applyFill="1" applyBorder="1"/>
    <xf numFmtId="0" fontId="0" fillId="2" borderId="0" xfId="0" applyFill="1" applyAlignment="1">
      <alignment horizontal="center" vertical="center"/>
    </xf>
    <xf numFmtId="0" fontId="0" fillId="3" borderId="0" xfId="0" applyFill="1"/>
    <xf numFmtId="10" fontId="0" fillId="3" borderId="0" xfId="0" applyNumberFormat="1" applyFill="1"/>
    <xf numFmtId="10" fontId="0" fillId="2" borderId="2" xfId="1" applyNumberFormat="1" applyFont="1" applyFill="1" applyBorder="1" applyAlignment="1">
      <alignment vertical="center"/>
    </xf>
    <xf numFmtId="9" fontId="0" fillId="3" borderId="0" xfId="0" applyNumberFormat="1" applyFill="1"/>
    <xf numFmtId="10" fontId="0" fillId="3" borderId="0" xfId="1" applyNumberFormat="1" applyFont="1" applyFill="1"/>
    <xf numFmtId="10" fontId="3" fillId="3" borderId="1" xfId="2" applyNumberFormat="1" applyFill="1" applyBorder="1"/>
    <xf numFmtId="10" fontId="6" fillId="3" borderId="13" xfId="2" applyNumberFormat="1" applyFont="1" applyFill="1" applyBorder="1"/>
    <xf numFmtId="10" fontId="3" fillId="3" borderId="14" xfId="2" applyNumberFormat="1" applyFill="1" applyBorder="1" applyAlignment="1">
      <alignment horizontal="left"/>
    </xf>
    <xf numFmtId="0" fontId="3" fillId="3" borderId="15" xfId="2" applyFill="1" applyBorder="1"/>
    <xf numFmtId="0" fontId="3" fillId="3" borderId="9" xfId="2" applyFill="1" applyBorder="1"/>
    <xf numFmtId="2" fontId="0" fillId="5" borderId="0" xfId="0" applyNumberFormat="1" applyFill="1"/>
    <xf numFmtId="0" fontId="19" fillId="3" borderId="1" xfId="2" applyFont="1" applyFill="1" applyBorder="1"/>
    <xf numFmtId="0" fontId="7" fillId="2" borderId="0" xfId="3" applyFill="1"/>
    <xf numFmtId="14" fontId="0" fillId="3" borderId="0" xfId="0" applyNumberFormat="1" applyFill="1"/>
    <xf numFmtId="14" fontId="5" fillId="3" borderId="0" xfId="2" applyNumberFormat="1" applyFont="1" applyFill="1" applyAlignment="1">
      <alignment horizontal="left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quotePrefix="1" applyFill="1" applyBorder="1" applyAlignment="1">
      <alignment vertical="center"/>
    </xf>
    <xf numFmtId="0" fontId="0" fillId="2" borderId="10" xfId="0" quotePrefix="1" applyFill="1" applyBorder="1"/>
    <xf numFmtId="0" fontId="2" fillId="2" borderId="11" xfId="0" quotePrefix="1" applyFont="1" applyFill="1" applyBorder="1" applyAlignment="1">
      <alignment vertic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9" fontId="0" fillId="2" borderId="0" xfId="0" applyNumberFormat="1" applyFill="1"/>
    <xf numFmtId="0" fontId="2" fillId="2" borderId="0" xfId="0" applyFont="1" applyFill="1"/>
    <xf numFmtId="3" fontId="0" fillId="2" borderId="0" xfId="0" applyNumberFormat="1" applyFill="1"/>
    <xf numFmtId="3" fontId="0" fillId="2" borderId="10" xfId="0" applyNumberForma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10" fontId="0" fillId="2" borderId="10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10" fontId="2" fillId="2" borderId="6" xfId="1" applyNumberFormat="1" applyFont="1" applyFill="1" applyBorder="1" applyAlignment="1">
      <alignment horizontal="center" wrapText="1"/>
    </xf>
    <xf numFmtId="10" fontId="2" fillId="2" borderId="10" xfId="1" applyNumberFormat="1" applyFont="1" applyFill="1" applyBorder="1" applyAlignment="1">
      <alignment horizontal="center"/>
    </xf>
    <xf numFmtId="10" fontId="2" fillId="2" borderId="11" xfId="1" applyNumberFormat="1" applyFont="1" applyFill="1" applyBorder="1" applyAlignment="1">
      <alignment horizontal="center"/>
    </xf>
    <xf numFmtId="10" fontId="2" fillId="2" borderId="12" xfId="1" applyNumberFormat="1" applyFont="1" applyFill="1" applyBorder="1" applyAlignment="1">
      <alignment horizontal="center" vertical="center"/>
    </xf>
    <xf numFmtId="10" fontId="0" fillId="2" borderId="10" xfId="1" applyNumberFormat="1" applyFont="1" applyFill="1" applyBorder="1" applyAlignment="1">
      <alignment horizontal="center" vertical="center"/>
    </xf>
    <xf numFmtId="10" fontId="2" fillId="2" borderId="11" xfId="1" applyNumberFormat="1" applyFont="1" applyFill="1" applyBorder="1" applyAlignment="1">
      <alignment horizontal="center" vertical="center"/>
    </xf>
    <xf numFmtId="10" fontId="0" fillId="3" borderId="10" xfId="1" applyNumberFormat="1" applyFont="1" applyFill="1" applyBorder="1" applyAlignment="1">
      <alignment horizontal="center"/>
    </xf>
    <xf numFmtId="1" fontId="0" fillId="3" borderId="10" xfId="1" applyNumberFormat="1" applyFont="1" applyFill="1" applyBorder="1" applyAlignment="1">
      <alignment horizontal="center"/>
    </xf>
    <xf numFmtId="0" fontId="21" fillId="2" borderId="0" xfId="0" applyFont="1" applyFill="1"/>
    <xf numFmtId="3" fontId="20" fillId="3" borderId="10" xfId="0" applyNumberFormat="1" applyFont="1" applyFill="1" applyBorder="1" applyAlignment="1">
      <alignment horizontal="center"/>
    </xf>
    <xf numFmtId="0" fontId="0" fillId="3" borderId="2" xfId="6" applyFont="1" applyFill="1" applyBorder="1"/>
    <xf numFmtId="0" fontId="2" fillId="2" borderId="2" xfId="6" applyFont="1" applyFill="1" applyBorder="1" applyAlignment="1">
      <alignment horizontal="center"/>
    </xf>
    <xf numFmtId="0" fontId="2" fillId="2" borderId="2" xfId="6" applyFont="1" applyFill="1" applyBorder="1"/>
    <xf numFmtId="2" fontId="2" fillId="2" borderId="2" xfId="6" applyNumberFormat="1" applyFont="1" applyFill="1" applyBorder="1"/>
    <xf numFmtId="10" fontId="0" fillId="2" borderId="2" xfId="7" applyNumberFormat="1" applyFont="1" applyFill="1" applyBorder="1"/>
    <xf numFmtId="10" fontId="2" fillId="2" borderId="0" xfId="6" applyNumberFormat="1" applyFont="1" applyFill="1"/>
    <xf numFmtId="10" fontId="1" fillId="2" borderId="0" xfId="6" applyNumberFormat="1" applyFill="1"/>
    <xf numFmtId="10" fontId="0" fillId="2" borderId="0" xfId="7" applyNumberFormat="1" applyFont="1" applyFill="1" applyBorder="1"/>
    <xf numFmtId="10" fontId="0" fillId="2" borderId="0" xfId="7" applyNumberFormat="1" applyFont="1" applyFill="1" applyBorder="1" applyAlignment="1">
      <alignment horizontal="left"/>
    </xf>
    <xf numFmtId="10" fontId="2" fillId="2" borderId="2" xfId="6" applyNumberFormat="1" applyFont="1" applyFill="1" applyBorder="1"/>
    <xf numFmtId="0" fontId="0" fillId="3" borderId="2" xfId="6" applyFont="1" applyFill="1" applyBorder="1" applyAlignment="1">
      <alignment horizontal="left" vertical="center" wrapText="1"/>
    </xf>
    <xf numFmtId="10" fontId="0" fillId="3" borderId="2" xfId="7" applyNumberFormat="1" applyFont="1" applyFill="1" applyBorder="1"/>
    <xf numFmtId="0" fontId="2" fillId="2" borderId="0" xfId="6" applyFont="1" applyFill="1"/>
    <xf numFmtId="0" fontId="1" fillId="2" borderId="0" xfId="6" applyFill="1"/>
    <xf numFmtId="0" fontId="2" fillId="2" borderId="2" xfId="6" quotePrefix="1" applyFont="1" applyFill="1" applyBorder="1" applyAlignment="1">
      <alignment horizontal="center"/>
    </xf>
    <xf numFmtId="10" fontId="0" fillId="3" borderId="2" xfId="0" applyNumberFormat="1" applyFill="1" applyBorder="1"/>
    <xf numFmtId="10" fontId="2" fillId="2" borderId="2" xfId="1" applyNumberFormat="1" applyFont="1" applyFill="1" applyBorder="1" applyAlignment="1">
      <alignment horizontal="center" vertical="center" wrapText="1"/>
    </xf>
    <xf numFmtId="10" fontId="0" fillId="3" borderId="2" xfId="1" applyNumberFormat="1" applyFont="1" applyFill="1" applyBorder="1" applyAlignment="1">
      <alignment vertical="center"/>
    </xf>
    <xf numFmtId="0" fontId="2" fillId="2" borderId="2" xfId="6" applyFont="1" applyFill="1" applyBorder="1" applyAlignment="1">
      <alignment horizontal="center" vertical="center"/>
    </xf>
    <xf numFmtId="9" fontId="3" fillId="2" borderId="0" xfId="2" applyNumberFormat="1" applyFill="1"/>
    <xf numFmtId="10" fontId="6" fillId="3" borderId="2" xfId="2" applyNumberFormat="1" applyFont="1" applyFill="1" applyBorder="1"/>
    <xf numFmtId="10" fontId="6" fillId="2" borderId="2" xfId="2" applyNumberFormat="1" applyFont="1" applyFill="1" applyBorder="1"/>
    <xf numFmtId="0" fontId="3" fillId="2" borderId="2" xfId="2" applyFill="1" applyBorder="1" applyAlignment="1">
      <alignment horizontal="right"/>
    </xf>
    <xf numFmtId="10" fontId="3" fillId="3" borderId="2" xfId="2" applyNumberFormat="1" applyFill="1" applyBorder="1"/>
    <xf numFmtId="10" fontId="3" fillId="2" borderId="2" xfId="2" applyNumberFormat="1" applyFill="1" applyBorder="1"/>
    <xf numFmtId="0" fontId="0" fillId="2" borderId="2" xfId="0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3" fillId="2" borderId="0" xfId="2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10" fontId="3" fillId="2" borderId="2" xfId="1" applyNumberFormat="1" applyFont="1" applyFill="1" applyBorder="1" applyAlignment="1">
      <alignment horizontal="right"/>
    </xf>
    <xf numFmtId="2" fontId="3" fillId="3" borderId="4" xfId="2" applyNumberFormat="1" applyFill="1" applyBorder="1"/>
    <xf numFmtId="10" fontId="3" fillId="3" borderId="4" xfId="2" applyNumberFormat="1" applyFill="1" applyBorder="1" applyAlignment="1">
      <alignment wrapText="1"/>
    </xf>
    <xf numFmtId="9" fontId="3" fillId="3" borderId="4" xfId="2" applyNumberFormat="1" applyFill="1" applyBorder="1"/>
    <xf numFmtId="10" fontId="0" fillId="3" borderId="4" xfId="5" applyNumberFormat="1" applyFont="1" applyFill="1" applyBorder="1"/>
    <xf numFmtId="4" fontId="3" fillId="3" borderId="3" xfId="2" applyNumberFormat="1" applyFill="1" applyBorder="1"/>
    <xf numFmtId="0" fontId="7" fillId="2" borderId="0" xfId="3" applyFill="1" applyAlignment="1">
      <alignment horizontal="left"/>
    </xf>
    <xf numFmtId="0" fontId="22" fillId="2" borderId="0" xfId="0" applyFont="1" applyFill="1"/>
    <xf numFmtId="0" fontId="3" fillId="7" borderId="0" xfId="2" applyFill="1"/>
    <xf numFmtId="10" fontId="3" fillId="7" borderId="0" xfId="2" applyNumberFormat="1" applyFill="1"/>
    <xf numFmtId="9" fontId="3" fillId="7" borderId="0" xfId="2" applyNumberFormat="1" applyFill="1"/>
    <xf numFmtId="0" fontId="0" fillId="2" borderId="15" xfId="0" applyFill="1" applyBorder="1"/>
    <xf numFmtId="0" fontId="0" fillId="2" borderId="17" xfId="0" applyFill="1" applyBorder="1"/>
    <xf numFmtId="0" fontId="21" fillId="2" borderId="17" xfId="0" applyFont="1" applyFill="1" applyBorder="1"/>
    <xf numFmtId="3" fontId="0" fillId="2" borderId="17" xfId="0" applyNumberFormat="1" applyFill="1" applyBorder="1"/>
    <xf numFmtId="10" fontId="0" fillId="2" borderId="16" xfId="1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4" fontId="2" fillId="6" borderId="22" xfId="0" applyNumberFormat="1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</cellXfs>
  <cellStyles count="16">
    <cellStyle name="Date" xfId="11" xr:uid="{0F98FC27-CAD2-489E-8A62-3D6D28297C67}"/>
    <cellStyle name="Dziesiętny 2" xfId="4" xr:uid="{00000000-0005-0000-0000-000000000000}"/>
    <cellStyle name="Hiperłącze" xfId="3" builtinId="8"/>
    <cellStyle name="Normal 2" xfId="12" xr:uid="{9022AE47-1C55-4DC3-8D1F-F536D61E72EE}"/>
    <cellStyle name="Normal 2 2" xfId="13" xr:uid="{05127949-A8B1-426B-9204-F424AF396C4C}"/>
    <cellStyle name="Normal 3" xfId="8" xr:uid="{7A39E06E-A572-4199-A3B5-2CF0F4A779F1}"/>
    <cellStyle name="Normal 3 2" xfId="14" xr:uid="{E8FA74EC-2003-4C28-9675-1F34E558DD50}"/>
    <cellStyle name="Normal_D_Prop" xfId="9" xr:uid="{1B8F4F6F-627D-4373-829F-0CD16B080EDC}"/>
    <cellStyle name="Normalny" xfId="0" builtinId="0"/>
    <cellStyle name="Normalny 2" xfId="2" xr:uid="{00000000-0005-0000-0000-000003000000}"/>
    <cellStyle name="Normalny 3" xfId="10" xr:uid="{FB9C7618-E75B-49F6-BE9C-C190DEC317F9}"/>
    <cellStyle name="Normalny 4" xfId="6" xr:uid="{00000000-0005-0000-0000-000004000000}"/>
    <cellStyle name="Number-2 Decimals" xfId="15" xr:uid="{3BB2D7A0-8ADC-47E8-9A72-CB4DFB417BE4}"/>
    <cellStyle name="Procentowy" xfId="1" builtinId="5"/>
    <cellStyle name="Procentowy 2" xfId="5" xr:uid="{00000000-0005-0000-0000-000006000000}"/>
    <cellStyle name="Procentowy 4" xfId="7" xr:uid="{00000000-0005-0000-0000-000007000000}"/>
  </cellStyles>
  <dxfs count="0"/>
  <tableStyles count="0" defaultTableStyle="TableStyleMedium2" defaultPivotStyle="PivotStyleLight16"/>
  <colors>
    <mruColors>
      <color rgb="FFE7FA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22380</xdr:colOff>
      <xdr:row>7</xdr:row>
      <xdr:rowOff>15060</xdr:rowOff>
    </xdr:from>
    <xdr:to>
      <xdr:col>11</xdr:col>
      <xdr:colOff>22740</xdr:colOff>
      <xdr:row>7</xdr:row>
      <xdr:rowOff>15420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Pismo odręczne 1">
              <a:extLst>
                <a:ext uri="{FF2B5EF4-FFF2-40B4-BE49-F238E27FC236}">
                  <a16:creationId xmlns:a16="http://schemas.microsoft.com/office/drawing/2014/main" id="{EF526F75-7547-30A4-7F1E-7DB3A50FC2DA}"/>
                </a:ext>
              </a:extLst>
            </xdr14:cNvPr>
            <xdr14:cNvContentPartPr/>
          </xdr14:nvContentPartPr>
          <xdr14:nvPr macro=""/>
          <xdr14:xfrm>
            <a:off x="13913640" y="1302840"/>
            <a:ext cx="360" cy="360"/>
          </xdr14:xfrm>
        </xdr:contentPart>
      </mc:Choice>
      <mc:Fallback xmlns="">
        <xdr:pic>
          <xdr:nvPicPr>
            <xdr:cNvPr id="2" name="Pismo odręczne 1">
              <a:extLst>
                <a:ext uri="{FF2B5EF4-FFF2-40B4-BE49-F238E27FC236}">
                  <a16:creationId xmlns:a16="http://schemas.microsoft.com/office/drawing/2014/main" id="{EF526F75-7547-30A4-7F1E-7DB3A50FC2D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3904640" y="1293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2689633</xdr:colOff>
      <xdr:row>25</xdr:row>
      <xdr:rowOff>20697</xdr:rowOff>
    </xdr:from>
    <xdr:to>
      <xdr:col>5</xdr:col>
      <xdr:colOff>187074</xdr:colOff>
      <xdr:row>26</xdr:row>
      <xdr:rowOff>71678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077" y="3934178"/>
          <a:ext cx="1965960" cy="248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918053</xdr:colOff>
      <xdr:row>8</xdr:row>
      <xdr:rowOff>103482</xdr:rowOff>
    </xdr:from>
    <xdr:to>
      <xdr:col>6</xdr:col>
      <xdr:colOff>717952</xdr:colOff>
      <xdr:row>12</xdr:row>
      <xdr:rowOff>37897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rostokąt 5">
              <a:extLst>
                <a:ext uri="{FF2B5EF4-FFF2-40B4-BE49-F238E27FC236}">
                  <a16:creationId xmlns:a16="http://schemas.microsoft.com/office/drawing/2014/main" id="{BD10C858-C114-438A-9580-6053D7395AFC}"/>
                </a:ext>
              </a:extLst>
            </xdr:cNvPr>
            <xdr:cNvSpPr/>
          </xdr:nvSpPr>
          <xdr:spPr>
            <a:xfrm>
              <a:off x="13420497" y="1495778"/>
              <a:ext cx="5086862" cy="63997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9144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18288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27432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36576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45720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54864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64008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73152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pl-PL" sz="160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pl-PL" sz="1600" i="0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l-PL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pl-PL" sz="1600" i="1">
                            <a:latin typeface="Cambria Math" panose="02040503050406030204" pitchFamily="18" charset="0"/>
                          </a:rPr>
                          <m:t>𝑈</m:t>
                        </m:r>
                      </m:sub>
                    </m:sSub>
                    <m:r>
                      <a:rPr lang="pl-PL" sz="1600" i="0">
                        <a:latin typeface="Cambria Math" panose="02040503050406030204" pitchFamily="18" charset="0"/>
                      </a:rPr>
                      <m:t>∙</m:t>
                    </m:r>
                    <m:d>
                      <m:dPr>
                        <m:begChr m:val="["/>
                        <m:endChr m:val="]"/>
                        <m:ctrlPr>
                          <a:rPr lang="pl-PL" sz="16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l-PL" sz="1600" i="0">
                            <a:latin typeface="Cambria Math" panose="02040503050406030204" pitchFamily="18" charset="0"/>
                          </a:rPr>
                          <m:t>1+</m:t>
                        </m:r>
                        <m:d>
                          <m:dPr>
                            <m:ctrlPr>
                              <a:rPr lang="pl-PL" sz="16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l-PL" sz="1600" i="0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a:rPr lang="pl-PL" sz="16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r>
                          <a:rPr lang="pl-PL" sz="1600" i="0">
                            <a:latin typeface="Cambria Math" panose="02040503050406030204" pitchFamily="18" charset="0"/>
                          </a:rPr>
                          <m:t>∙</m:t>
                        </m:r>
                        <m:f>
                          <m:fPr>
                            <m:ctrlPr>
                              <a:rPr lang="pl-PL" sz="16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60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lang="pl-PL" sz="160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l-PL" sz="1600"/>
            </a:p>
          </xdr:txBody>
        </xdr:sp>
      </mc:Choice>
      <mc:Fallback xmlns="">
        <xdr:sp macro="" textlink="">
          <xdr:nvSpPr>
            <xdr:cNvPr id="6" name="Prostokąt 5">
              <a:extLst>
                <a:ext uri="{FF2B5EF4-FFF2-40B4-BE49-F238E27FC236}">
                  <a16:creationId xmlns:a16="http://schemas.microsoft.com/office/drawing/2014/main" id="{BD10C858-C114-438A-9580-6053D7395AFC}"/>
                </a:ext>
              </a:extLst>
            </xdr:cNvPr>
            <xdr:cNvSpPr/>
          </xdr:nvSpPr>
          <xdr:spPr>
            <a:xfrm>
              <a:off x="13420497" y="1495778"/>
              <a:ext cx="5086862" cy="63997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9144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18288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27432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36576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45720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54864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64008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7315200" algn="l" defTabSz="1828800" rtl="0" eaLnBrk="1" latinLnBrk="0" hangingPunct="1">
                <a:defRPr sz="36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l-PL" sz="1600" i="0">
                  <a:latin typeface="Cambria Math" panose="02040503050406030204" pitchFamily="18" charset="0"/>
                </a:rPr>
                <a:t>𝛽_𝐿=𝛽_𝑈∙[1+(1−𝑡)∙𝐷/𝐸]</a:t>
              </a:r>
              <a:endParaRPr lang="pl-PL" sz="1600"/>
            </a:p>
          </xdr:txBody>
        </xdr:sp>
      </mc:Fallback>
    </mc:AlternateContent>
    <xdr:clientData/>
  </xdr:twoCellAnchor>
  <xdr:twoCellAnchor>
    <xdr:from>
      <xdr:col>4</xdr:col>
      <xdr:colOff>2263311</xdr:colOff>
      <xdr:row>20</xdr:row>
      <xdr:rowOff>9408</xdr:rowOff>
    </xdr:from>
    <xdr:to>
      <xdr:col>6</xdr:col>
      <xdr:colOff>140219</xdr:colOff>
      <xdr:row>22</xdr:row>
      <xdr:rowOff>75730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F0C9952-8000-4DF6-875E-8E15A196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5755" y="3019778"/>
          <a:ext cx="3163871" cy="404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2643481</xdr:colOff>
      <xdr:row>36</xdr:row>
      <xdr:rowOff>37630</xdr:rowOff>
    </xdr:from>
    <xdr:to>
      <xdr:col>6</xdr:col>
      <xdr:colOff>545630</xdr:colOff>
      <xdr:row>37</xdr:row>
      <xdr:rowOff>45890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BC1645F-4D05-A257-CEF3-ABBC5C3D3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45925" y="6020741"/>
          <a:ext cx="3189112" cy="1775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154382</xdr:colOff>
      <xdr:row>12</xdr:row>
      <xdr:rowOff>1846</xdr:rowOff>
    </xdr:from>
    <xdr:to>
      <xdr:col>7</xdr:col>
      <xdr:colOff>1287536</xdr:colOff>
      <xdr:row>37</xdr:row>
      <xdr:rowOff>7038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65A9D25-C75A-BE28-FE51-4A0B49AA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0249" y="2169313"/>
          <a:ext cx="5806754" cy="2714525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1T09:19:51.88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24575,'0'0'-8191</inkml:trace>
</inkml: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cb.europa.eu/stats/financial_markets_and_interest_rates/long_term_interest_rates/html/index.en.html" TargetMode="External"/><Relationship Id="rId1" Type="http://schemas.openxmlformats.org/officeDocument/2006/relationships/hyperlink" Target="http://pages.stern.nyu.edu/~adamodar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antander.pl/serwis-ekonomiczny/codziennik/archiwu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92A4-8B2E-4855-81DF-F7DE095A8672}">
  <sheetPr>
    <tabColor rgb="FFFFFF00"/>
    <pageSetUpPr fitToPage="1"/>
  </sheetPr>
  <dimension ref="A1:G29"/>
  <sheetViews>
    <sheetView tabSelected="1" topLeftCell="B1" zoomScaleNormal="100" workbookViewId="0">
      <selection activeCell="C4" sqref="C4"/>
    </sheetView>
  </sheetViews>
  <sheetFormatPr defaultRowHeight="14.4" x14ac:dyDescent="0.3"/>
  <cols>
    <col min="1" max="1" width="42.109375" style="37" hidden="1" customWidth="1"/>
    <col min="2" max="2" width="46.88671875" style="37" customWidth="1"/>
    <col min="3" max="3" width="52.6640625" style="37" customWidth="1"/>
    <col min="4" max="4" width="10.21875" style="37" customWidth="1"/>
    <col min="5" max="5" width="39.44140625" style="37" customWidth="1"/>
    <col min="6" max="16384" width="8.88671875" style="37"/>
  </cols>
  <sheetData>
    <row r="1" spans="1:7" x14ac:dyDescent="0.3">
      <c r="A1" s="47" t="s">
        <v>251</v>
      </c>
      <c r="B1" s="47" t="s">
        <v>148</v>
      </c>
      <c r="C1" s="47" t="s">
        <v>252</v>
      </c>
      <c r="D1" s="37" t="s">
        <v>84</v>
      </c>
    </row>
    <row r="2" spans="1:7" x14ac:dyDescent="0.3">
      <c r="A2" s="37" t="s">
        <v>172</v>
      </c>
      <c r="B2" s="37" t="s">
        <v>173</v>
      </c>
      <c r="C2" s="61">
        <v>45473</v>
      </c>
    </row>
    <row r="3" spans="1:7" x14ac:dyDescent="0.3">
      <c r="A3" s="37" t="s">
        <v>88</v>
      </c>
      <c r="B3" s="37" t="s">
        <v>249</v>
      </c>
      <c r="C3" s="49">
        <v>5.7299999999999997E-2</v>
      </c>
      <c r="D3" s="39">
        <v>5.7299999999999997E-2</v>
      </c>
      <c r="E3" s="37" t="s">
        <v>90</v>
      </c>
      <c r="G3" s="141" t="s">
        <v>155</v>
      </c>
    </row>
    <row r="4" spans="1:7" x14ac:dyDescent="0.3">
      <c r="A4" s="37" t="s">
        <v>7</v>
      </c>
      <c r="B4" s="37" t="s">
        <v>91</v>
      </c>
      <c r="C4" s="49">
        <v>5.1499999999999997E-2</v>
      </c>
      <c r="D4" s="39">
        <v>5.1499999999999997E-2</v>
      </c>
      <c r="E4" s="37" t="s">
        <v>56</v>
      </c>
      <c r="G4" s="37" t="s">
        <v>36</v>
      </c>
    </row>
    <row r="5" spans="1:7" ht="15" x14ac:dyDescent="0.35">
      <c r="A5" s="37" t="s">
        <v>8</v>
      </c>
      <c r="B5" s="37" t="s">
        <v>150</v>
      </c>
      <c r="C5" s="48">
        <v>0.47</v>
      </c>
      <c r="E5" s="37" t="s">
        <v>92</v>
      </c>
      <c r="G5" s="37" t="s">
        <v>45</v>
      </c>
    </row>
    <row r="6" spans="1:7" x14ac:dyDescent="0.3">
      <c r="A6" s="37" t="s">
        <v>73</v>
      </c>
      <c r="B6" s="37" t="s">
        <v>93</v>
      </c>
      <c r="C6" s="49">
        <v>0.55069999999999997</v>
      </c>
      <c r="E6" s="37" t="s">
        <v>56</v>
      </c>
      <c r="G6" s="37" t="s">
        <v>255</v>
      </c>
    </row>
    <row r="7" spans="1:7" x14ac:dyDescent="0.3">
      <c r="A7" s="37" t="s">
        <v>9</v>
      </c>
      <c r="B7" s="37" t="s">
        <v>95</v>
      </c>
      <c r="C7" s="51">
        <v>0.19</v>
      </c>
      <c r="D7" s="79">
        <v>0.19</v>
      </c>
      <c r="E7" s="37" t="s">
        <v>56</v>
      </c>
      <c r="G7" s="37" t="s">
        <v>256</v>
      </c>
    </row>
    <row r="8" spans="1:7" x14ac:dyDescent="0.3">
      <c r="A8" s="37" t="s">
        <v>75</v>
      </c>
      <c r="B8" s="37" t="s">
        <v>257</v>
      </c>
      <c r="C8" s="52">
        <v>0.66793407541928762</v>
      </c>
      <c r="E8" s="37" t="s">
        <v>56</v>
      </c>
      <c r="G8" s="37" t="s">
        <v>255</v>
      </c>
    </row>
    <row r="9" spans="1:7" x14ac:dyDescent="0.3">
      <c r="A9" s="37" t="s">
        <v>74</v>
      </c>
      <c r="G9" s="60" t="s">
        <v>35</v>
      </c>
    </row>
    <row r="11" spans="1:7" ht="15.6" x14ac:dyDescent="0.35">
      <c r="A11" s="37" t="s">
        <v>18</v>
      </c>
      <c r="B11" s="37" t="s">
        <v>142</v>
      </c>
      <c r="C11" s="48">
        <v>1.25</v>
      </c>
      <c r="E11" s="37" t="s">
        <v>141</v>
      </c>
    </row>
    <row r="12" spans="1:7" ht="15.6" x14ac:dyDescent="0.35">
      <c r="A12" s="37" t="s">
        <v>19</v>
      </c>
      <c r="B12" s="37" t="s">
        <v>260</v>
      </c>
      <c r="C12" s="58">
        <v>1.23</v>
      </c>
      <c r="E12" s="37" t="s">
        <v>211</v>
      </c>
    </row>
    <row r="14" spans="1:7" x14ac:dyDescent="0.3">
      <c r="A14" s="37" t="s">
        <v>60</v>
      </c>
      <c r="B14" s="37" t="s">
        <v>143</v>
      </c>
      <c r="C14" s="1" t="s">
        <v>71</v>
      </c>
      <c r="D14" s="38">
        <f>_xlfn.XLOOKUP(C14,Sector!A3:A6,Sector!C3:C6)</f>
        <v>0</v>
      </c>
    </row>
    <row r="15" spans="1:7" x14ac:dyDescent="0.3">
      <c r="A15" s="37" t="s">
        <v>87</v>
      </c>
      <c r="B15" s="37" t="s">
        <v>164</v>
      </c>
      <c r="C15" s="1" t="s">
        <v>49</v>
      </c>
      <c r="D15" s="38">
        <f>_xlfn.XLOOKUP(C15,'Location '!A3:A10,'Location '!C3:C10)</f>
        <v>-7.8571428571428625E-2</v>
      </c>
    </row>
    <row r="16" spans="1:7" x14ac:dyDescent="0.3">
      <c r="A16" s="37" t="s">
        <v>52</v>
      </c>
      <c r="B16" s="142" t="s">
        <v>144</v>
      </c>
      <c r="C16" s="1" t="s">
        <v>213</v>
      </c>
      <c r="D16" s="38">
        <f>_xlfn.XLOOKUP(C16,'Detailed location'!A3:A5,'Detailed location'!C3:C5)</f>
        <v>-7.1428571428571397E-2</v>
      </c>
    </row>
    <row r="17" spans="1:6" x14ac:dyDescent="0.3">
      <c r="A17" s="37" t="s">
        <v>89</v>
      </c>
      <c r="B17" s="37" t="s">
        <v>145</v>
      </c>
      <c r="C17" s="1" t="s">
        <v>221</v>
      </c>
      <c r="D17" s="38">
        <f>_xlfn.XLOOKUP(C17,Standard!A3:A6,Standard!C3:C6)</f>
        <v>-0.11111111111111116</v>
      </c>
    </row>
    <row r="18" spans="1:6" x14ac:dyDescent="0.3">
      <c r="A18" s="37" t="s">
        <v>61</v>
      </c>
      <c r="B18" s="37" t="s">
        <v>146</v>
      </c>
      <c r="C18" s="1" t="s">
        <v>226</v>
      </c>
      <c r="D18" s="38">
        <f>_xlfn.XLOOKUP(C18,Tenants!A3:A5,Tenants!C3:C5)</f>
        <v>0</v>
      </c>
    </row>
    <row r="19" spans="1:6" x14ac:dyDescent="0.3">
      <c r="A19" s="37" t="s">
        <v>53</v>
      </c>
      <c r="B19" s="37" t="s">
        <v>147</v>
      </c>
      <c r="C19" s="1" t="s">
        <v>230</v>
      </c>
      <c r="D19" s="38">
        <f>_xlfn.XLOOKUP(C19,Construction!A3:A5,Construction!E3:E5)</f>
        <v>0</v>
      </c>
    </row>
    <row r="20" spans="1:6" x14ac:dyDescent="0.3">
      <c r="A20" s="37" t="str">
        <f>WACC!B35</f>
        <v>Inne</v>
      </c>
      <c r="B20" s="37" t="s">
        <v>253</v>
      </c>
      <c r="C20" s="1"/>
      <c r="D20" s="49">
        <v>0</v>
      </c>
    </row>
    <row r="22" spans="1:6" x14ac:dyDescent="0.3">
      <c r="A22" s="37" t="s">
        <v>244</v>
      </c>
      <c r="B22" s="37" t="s">
        <v>243</v>
      </c>
      <c r="C22" s="48" t="s">
        <v>242</v>
      </c>
    </row>
    <row r="23" spans="1:6" hidden="1" x14ac:dyDescent="0.3">
      <c r="C23" s="37" t="s">
        <v>242</v>
      </c>
    </row>
    <row r="24" spans="1:6" hidden="1" x14ac:dyDescent="0.3">
      <c r="C24" s="37" t="s">
        <v>180</v>
      </c>
    </row>
    <row r="25" spans="1:6" ht="15.6" hidden="1" x14ac:dyDescent="0.35">
      <c r="A25" s="40" t="s">
        <v>62</v>
      </c>
      <c r="B25" s="40"/>
      <c r="F25" s="39">
        <f>WACC!D26</f>
        <v>0.11899999999999999</v>
      </c>
    </row>
    <row r="26" spans="1:6" s="42" customFormat="1" ht="15.6" hidden="1" x14ac:dyDescent="0.35">
      <c r="A26" s="41" t="s">
        <v>63</v>
      </c>
      <c r="B26" s="41"/>
      <c r="F26" s="43">
        <f>(1+D14)*(1+D15)*(1+D16)*(1+D17)*(1+D18)*(1+D19)-1</f>
        <v>-0.23945578231292519</v>
      </c>
    </row>
    <row r="27" spans="1:6" s="45" customFormat="1" ht="32.4" hidden="1" customHeight="1" x14ac:dyDescent="0.3">
      <c r="A27" s="44" t="s">
        <v>30</v>
      </c>
      <c r="B27" s="44"/>
      <c r="F27" s="46">
        <f>F25*(1+F26)</f>
        <v>9.0504761904761893E-2</v>
      </c>
    </row>
    <row r="28" spans="1:6" hidden="1" x14ac:dyDescent="0.3">
      <c r="A28" s="37" t="s">
        <v>58</v>
      </c>
      <c r="F28" s="39">
        <f>WACC!D38</f>
        <v>2.8191286113650304E-2</v>
      </c>
    </row>
    <row r="29" spans="1:6" hidden="1" x14ac:dyDescent="0.3">
      <c r="A29" s="37" t="s">
        <v>31</v>
      </c>
      <c r="F29" s="39">
        <f>F27-F28</f>
        <v>6.2313475791111586E-2</v>
      </c>
    </row>
  </sheetData>
  <dataValidations count="1">
    <dataValidation type="list" allowBlank="1" showInputMessage="1" showErrorMessage="1" sqref="C22" xr:uid="{05674745-2F6B-4E5B-863A-5D0FF302264D}">
      <formula1>$C$23:$C$24</formula1>
    </dataValidation>
  </dataValidations>
  <hyperlinks>
    <hyperlink ref="G9" r:id="rId1" xr:uid="{9FD700F9-D7A4-49BD-826B-6134F73AA1C5}"/>
    <hyperlink ref="G3" r:id="rId2" xr:uid="{7D1EE417-1E75-4533-AE4F-8F4460BEF8ED}"/>
  </hyperlinks>
  <pageMargins left="0.7" right="0.7" top="0.75" bottom="0.75" header="0.3" footer="0.3"/>
  <pageSetup paperSize="9" scale="51" orientation="landscape" horizontalDpi="0" verticalDpi="0" r:id="rId3"/>
  <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78635C5-1E07-421C-A47F-4E4B1506CE4C}">
          <x14:formula1>
            <xm:f>Tenants!$A$3:$A$5</xm:f>
          </x14:formula1>
          <xm:sqref>C18</xm:sqref>
        </x14:dataValidation>
        <x14:dataValidation type="list" allowBlank="1" showInputMessage="1" showErrorMessage="1" xr:uid="{31D9717E-FF6D-40EE-9476-CFA84E258DD1}">
          <x14:formula1>
            <xm:f>Construction!$A$3:$A$5</xm:f>
          </x14:formula1>
          <xm:sqref>C19</xm:sqref>
        </x14:dataValidation>
        <x14:dataValidation type="list" allowBlank="1" showInputMessage="1" showErrorMessage="1" xr:uid="{D47FA93E-2A8A-458F-87BF-699825F9E515}">
          <x14:formula1>
            <xm:f>'Detailed location'!$A$3:$A$5</xm:f>
          </x14:formula1>
          <xm:sqref>C16</xm:sqref>
        </x14:dataValidation>
        <x14:dataValidation type="list" allowBlank="1" showInputMessage="1" showErrorMessage="1" xr:uid="{9FF8B228-BA36-4569-A647-4F93B03D58DB}">
          <x14:formula1>
            <xm:f>Standard!$A$3:$A$6</xm:f>
          </x14:formula1>
          <xm:sqref>C17</xm:sqref>
        </x14:dataValidation>
        <x14:dataValidation type="list" allowBlank="1" showInputMessage="1" showErrorMessage="1" xr:uid="{A28D1D29-1C8F-4FE6-9C3F-1CE658205635}">
          <x14:formula1>
            <xm:f>'Location '!$A$3:$A$10</xm:f>
          </x14:formula1>
          <xm:sqref>C15</xm:sqref>
        </x14:dataValidation>
        <x14:dataValidation type="list" allowBlank="1" showInputMessage="1" showErrorMessage="1" xr:uid="{A8710E78-8694-4C86-80AD-52B4C3E45CB1}">
          <x14:formula1>
            <xm:f>Sector!$A$3:$A$6</xm:f>
          </x14:formula1>
          <xm:sqref>C14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5B57-4C28-4F61-8DB2-5028CC94E2BB}">
  <sheetPr>
    <tabColor rgb="FFFF0000"/>
  </sheetPr>
  <dimension ref="A1:W8"/>
  <sheetViews>
    <sheetView zoomScale="126" workbookViewId="0">
      <selection activeCell="E9" sqref="E9"/>
    </sheetView>
  </sheetViews>
  <sheetFormatPr defaultRowHeight="14.4" x14ac:dyDescent="0.3"/>
  <cols>
    <col min="1" max="1" width="22.6640625" style="37" customWidth="1"/>
    <col min="2" max="11" width="8.88671875" style="37"/>
    <col min="12" max="14" width="10.88671875" style="37" customWidth="1"/>
    <col min="15" max="15" width="9.5546875" style="37" customWidth="1"/>
    <col min="16" max="16384" width="8.88671875" style="37"/>
  </cols>
  <sheetData>
    <row r="1" spans="1:23" x14ac:dyDescent="0.3">
      <c r="A1" s="80" t="s">
        <v>246</v>
      </c>
    </row>
    <row r="2" spans="1:23" s="47" customFormat="1" ht="33.6" customHeight="1" x14ac:dyDescent="0.3">
      <c r="A2" s="131" t="s">
        <v>234</v>
      </c>
      <c r="B2" s="132">
        <v>2024</v>
      </c>
      <c r="C2" s="132">
        <f t="shared" ref="C2:K2" si="0">B2+1</f>
        <v>2025</v>
      </c>
      <c r="D2" s="132">
        <f t="shared" si="0"/>
        <v>2026</v>
      </c>
      <c r="E2" s="132">
        <f t="shared" si="0"/>
        <v>2027</v>
      </c>
      <c r="F2" s="132">
        <f t="shared" si="0"/>
        <v>2028</v>
      </c>
      <c r="G2" s="132">
        <f t="shared" si="0"/>
        <v>2029</v>
      </c>
      <c r="H2" s="132">
        <f t="shared" si="0"/>
        <v>2030</v>
      </c>
      <c r="I2" s="132">
        <f t="shared" si="0"/>
        <v>2031</v>
      </c>
      <c r="J2" s="132">
        <f t="shared" si="0"/>
        <v>2032</v>
      </c>
      <c r="K2" s="132">
        <f t="shared" si="0"/>
        <v>2033</v>
      </c>
      <c r="L2" s="134" t="s">
        <v>235</v>
      </c>
      <c r="M2" s="134" t="s">
        <v>241</v>
      </c>
      <c r="N2" s="134" t="s">
        <v>58</v>
      </c>
      <c r="O2" s="134" t="s">
        <v>236</v>
      </c>
      <c r="P2" s="133"/>
      <c r="Q2" s="133"/>
      <c r="R2" s="133"/>
      <c r="S2" s="133"/>
      <c r="T2" s="133"/>
      <c r="U2" s="133"/>
      <c r="V2" s="133"/>
      <c r="W2" s="133"/>
    </row>
    <row r="3" spans="1:23" x14ac:dyDescent="0.3">
      <c r="A3" s="135" t="s">
        <v>238</v>
      </c>
      <c r="B3" s="129">
        <v>3.6999999999999998E-2</v>
      </c>
      <c r="C3" s="129">
        <v>5.1999999999999998E-2</v>
      </c>
      <c r="D3" s="129">
        <v>2.7E-2</v>
      </c>
      <c r="E3" s="130">
        <f>O3</f>
        <v>2.5000000000000001E-2</v>
      </c>
      <c r="F3" s="130">
        <v>2.5000000000000001E-2</v>
      </c>
      <c r="G3" s="130">
        <v>2.5000000000000001E-2</v>
      </c>
      <c r="H3" s="130">
        <v>2.5000000000000001E-2</v>
      </c>
      <c r="I3" s="130">
        <v>2.5000000000000001E-2</v>
      </c>
      <c r="J3" s="130">
        <v>2.5000000000000001E-2</v>
      </c>
      <c r="K3" s="130">
        <v>2.5000000000000001E-2</v>
      </c>
      <c r="L3" s="127">
        <f>GEOMEAN(B3:K3)</f>
        <v>2.8191286113650304E-2</v>
      </c>
      <c r="M3" s="126">
        <v>0</v>
      </c>
      <c r="N3" s="127">
        <f>L3+M3</f>
        <v>2.8191286113650304E-2</v>
      </c>
      <c r="O3" s="129">
        <v>2.5000000000000001E-2</v>
      </c>
      <c r="P3" s="40"/>
      <c r="Q3" s="40"/>
      <c r="R3" s="40"/>
      <c r="S3" s="40"/>
      <c r="T3" s="40"/>
      <c r="U3" s="40"/>
      <c r="V3" s="40"/>
      <c r="W3" s="40"/>
    </row>
    <row r="4" spans="1:23" x14ac:dyDescent="0.3">
      <c r="A4" s="128" t="s">
        <v>237</v>
      </c>
      <c r="B4" s="129">
        <v>2.5000000000000001E-2</v>
      </c>
      <c r="C4" s="129">
        <v>2.1999999999999999E-2</v>
      </c>
      <c r="D4" s="129">
        <v>1.9E-2</v>
      </c>
      <c r="E4" s="130">
        <f>O4</f>
        <v>0.02</v>
      </c>
      <c r="F4" s="130">
        <f t="shared" ref="F4:K4" si="1">E4</f>
        <v>0.02</v>
      </c>
      <c r="G4" s="130">
        <f t="shared" si="1"/>
        <v>0.02</v>
      </c>
      <c r="H4" s="130">
        <f t="shared" si="1"/>
        <v>0.02</v>
      </c>
      <c r="I4" s="130">
        <f t="shared" si="1"/>
        <v>0.02</v>
      </c>
      <c r="J4" s="130">
        <f t="shared" si="1"/>
        <v>0.02</v>
      </c>
      <c r="K4" s="130">
        <f t="shared" si="1"/>
        <v>0.02</v>
      </c>
      <c r="L4" s="127">
        <f>GEOMEAN(B4:K4)</f>
        <v>2.0541522331817334E-2</v>
      </c>
      <c r="M4" s="126">
        <v>0</v>
      </c>
      <c r="N4" s="127">
        <f>L4+M4</f>
        <v>2.0541522331817334E-2</v>
      </c>
      <c r="O4" s="129">
        <v>0.02</v>
      </c>
      <c r="P4" s="40"/>
      <c r="Q4" s="40"/>
      <c r="R4" s="40"/>
      <c r="S4" s="40"/>
      <c r="T4" s="40"/>
      <c r="U4" s="40"/>
      <c r="V4" s="40"/>
      <c r="W4" s="40"/>
    </row>
    <row r="5" spans="1:23" x14ac:dyDescent="0.3">
      <c r="A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x14ac:dyDescent="0.3">
      <c r="A6" s="40"/>
      <c r="B6" s="40" t="s">
        <v>59</v>
      </c>
      <c r="C6" s="40"/>
      <c r="D6" s="40"/>
      <c r="E6" s="125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x14ac:dyDescent="0.3">
      <c r="B7" s="40" t="s">
        <v>239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x14ac:dyDescent="0.3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EE45"/>
  <sheetViews>
    <sheetView zoomScale="115" zoomScaleNormal="115" workbookViewId="0"/>
  </sheetViews>
  <sheetFormatPr defaultRowHeight="13.2" x14ac:dyDescent="0.25"/>
  <cols>
    <col min="1" max="1" width="2.109375" style="4" customWidth="1"/>
    <col min="2" max="2" width="81.5546875" style="4" hidden="1" customWidth="1"/>
    <col min="3" max="3" width="81.5546875" style="4" customWidth="1"/>
    <col min="4" max="4" width="17" style="4" customWidth="1"/>
    <col min="5" max="5" width="65.21875" style="4" bestFit="1" customWidth="1"/>
    <col min="6" max="6" width="12" style="4" customWidth="1"/>
    <col min="7" max="7" width="11.21875" style="4" bestFit="1" customWidth="1"/>
    <col min="8" max="16384" width="8.88671875" style="4"/>
  </cols>
  <sheetData>
    <row r="1" spans="2:135" x14ac:dyDescent="0.25">
      <c r="B1" s="2" t="s">
        <v>12</v>
      </c>
      <c r="C1" s="2" t="s">
        <v>12</v>
      </c>
      <c r="D1" s="3"/>
      <c r="E1" s="3"/>
      <c r="F1" s="3"/>
      <c r="G1" s="3"/>
    </row>
    <row r="2" spans="2:135" x14ac:dyDescent="0.25">
      <c r="B2" s="5"/>
      <c r="C2" s="5"/>
      <c r="D2" s="35" t="s">
        <v>171</v>
      </c>
      <c r="E2" s="62">
        <f>Data!C2</f>
        <v>45473</v>
      </c>
      <c r="F2" s="3"/>
      <c r="G2" s="3"/>
    </row>
    <row r="3" spans="2:135" x14ac:dyDescent="0.25">
      <c r="B3" s="3"/>
      <c r="C3" s="3"/>
      <c r="D3" s="3"/>
      <c r="E3" s="3"/>
      <c r="F3" s="3"/>
      <c r="G3" s="3"/>
    </row>
    <row r="4" spans="2:135" x14ac:dyDescent="0.25">
      <c r="B4" s="7" t="s">
        <v>148</v>
      </c>
      <c r="C4" s="7" t="s">
        <v>148</v>
      </c>
      <c r="D4" s="8" t="s">
        <v>149</v>
      </c>
      <c r="E4" s="7" t="s">
        <v>250</v>
      </c>
      <c r="F4" s="6"/>
      <c r="G4" s="6"/>
    </row>
    <row r="5" spans="2:135" x14ac:dyDescent="0.25">
      <c r="B5" s="9" t="s">
        <v>6</v>
      </c>
      <c r="C5" s="9" t="s">
        <v>6</v>
      </c>
      <c r="D5" s="10"/>
      <c r="E5" s="9"/>
      <c r="F5" s="9"/>
      <c r="G5" s="9"/>
    </row>
    <row r="6" spans="2:135" ht="14.4" x14ac:dyDescent="0.3">
      <c r="B6" s="4" t="s">
        <v>248</v>
      </c>
      <c r="C6" s="4" t="str">
        <f>Data!B3</f>
        <v>Risk Free Rate (Rf)</v>
      </c>
      <c r="D6" s="12">
        <f>Data!C3</f>
        <v>5.7299999999999997E-2</v>
      </c>
      <c r="E6" s="4" t="str">
        <f>Data!E3</f>
        <v>Long-term interest rate, e.g. European Central Bank (ECB)</v>
      </c>
      <c r="F6" s="28"/>
      <c r="G6" s="13"/>
    </row>
    <row r="7" spans="2:135" ht="14.4" x14ac:dyDescent="0.3">
      <c r="B7" s="4" t="s">
        <v>7</v>
      </c>
      <c r="C7" s="4" t="str">
        <f>Data!B4</f>
        <v>Equity Risk Premium (Rm-Rf)</v>
      </c>
      <c r="D7" s="12">
        <f>Data!C4</f>
        <v>5.1499999999999997E-2</v>
      </c>
      <c r="E7" s="4" t="s">
        <v>55</v>
      </c>
      <c r="F7" s="13"/>
      <c r="J7"/>
    </row>
    <row r="8" spans="2:135" ht="15" x14ac:dyDescent="0.35">
      <c r="B8" s="4" t="s">
        <v>8</v>
      </c>
      <c r="C8" s="4" t="str">
        <f>Data!B5</f>
        <v>Unlevered beta corrected for cash (REIT EUROPE (βu))</v>
      </c>
      <c r="D8" s="136">
        <f>Data!C5</f>
        <v>0.47</v>
      </c>
      <c r="E8" s="4" t="s">
        <v>55</v>
      </c>
      <c r="F8" s="13"/>
    </row>
    <row r="9" spans="2:135" x14ac:dyDescent="0.25">
      <c r="B9" s="4" t="s">
        <v>151</v>
      </c>
      <c r="C9" s="4" t="s">
        <v>151</v>
      </c>
      <c r="D9" s="12">
        <f>1-D10</f>
        <v>0.44930000000000003</v>
      </c>
      <c r="E9" s="14" t="s">
        <v>152</v>
      </c>
      <c r="F9" s="27"/>
    </row>
    <row r="10" spans="2:135" x14ac:dyDescent="0.25">
      <c r="B10" s="4" t="s">
        <v>247</v>
      </c>
      <c r="C10" s="4" t="str">
        <f>Data!B6</f>
        <v>E/(D+E) for REITs from Europe</v>
      </c>
      <c r="D10" s="137">
        <f>Data!C6</f>
        <v>0.55069999999999997</v>
      </c>
      <c r="E10" s="4" t="s">
        <v>56</v>
      </c>
      <c r="F10" s="13"/>
    </row>
    <row r="11" spans="2:135" x14ac:dyDescent="0.25">
      <c r="B11" s="4" t="s">
        <v>9</v>
      </c>
      <c r="C11" s="4" t="str">
        <f>Data!B7 &amp; " (tc)"</f>
        <v>Tax Rate (CIT - Corporate Income Tax) (tc)</v>
      </c>
      <c r="D11" s="138">
        <f>Data!C7</f>
        <v>0.19</v>
      </c>
      <c r="E11" s="4" t="str">
        <f>Data!E7</f>
        <v>A. Damodaran</v>
      </c>
    </row>
    <row r="12" spans="2:135" s="15" customFormat="1" ht="15.6" x14ac:dyDescent="0.35">
      <c r="B12" s="15" t="s">
        <v>10</v>
      </c>
      <c r="C12" s="15" t="s">
        <v>157</v>
      </c>
      <c r="D12" s="16">
        <f>ROUND(D8*(1+(1-D11)*D9/D10),4)</f>
        <v>0.78059999999999996</v>
      </c>
      <c r="E12" s="15" t="s">
        <v>153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</row>
    <row r="13" spans="2:135" s="9" customFormat="1" ht="15.6" x14ac:dyDescent="0.35">
      <c r="B13" s="9" t="s">
        <v>11</v>
      </c>
      <c r="C13" s="9" t="s">
        <v>245</v>
      </c>
      <c r="D13" s="17">
        <f>ROUND(D6+D7*D12,4)</f>
        <v>9.7500000000000003E-2</v>
      </c>
      <c r="E13" s="9" t="s">
        <v>154</v>
      </c>
    </row>
    <row r="14" spans="2:135" x14ac:dyDescent="0.25">
      <c r="D14" s="11"/>
    </row>
    <row r="15" spans="2:135" x14ac:dyDescent="0.25">
      <c r="B15" s="9" t="s">
        <v>12</v>
      </c>
      <c r="C15" s="9" t="s">
        <v>12</v>
      </c>
      <c r="D15" s="10"/>
      <c r="E15" s="9"/>
      <c r="F15" s="9"/>
      <c r="G15" s="9"/>
      <c r="J15" s="18"/>
      <c r="K15" s="18"/>
      <c r="L15" s="18"/>
      <c r="M15" s="18"/>
    </row>
    <row r="16" spans="2:135" ht="14.4" x14ac:dyDescent="0.3">
      <c r="B16" s="48" t="s">
        <v>96</v>
      </c>
      <c r="C16" s="4" t="s">
        <v>96</v>
      </c>
      <c r="D16" s="12">
        <f>Data!C8</f>
        <v>0.66793407541928762</v>
      </c>
      <c r="E16" s="4" t="s">
        <v>94</v>
      </c>
      <c r="K16" s="18"/>
      <c r="L16" s="18"/>
      <c r="M16" s="18"/>
    </row>
    <row r="17" spans="1:135" hidden="1" x14ac:dyDescent="0.25">
      <c r="B17" s="4" t="s">
        <v>38</v>
      </c>
      <c r="D17" s="12">
        <v>4.2700000000000002E-2</v>
      </c>
      <c r="E17" s="4" t="s">
        <v>57</v>
      </c>
      <c r="F17" s="13" t="s">
        <v>40</v>
      </c>
      <c r="K17" s="18"/>
      <c r="L17" s="18"/>
      <c r="M17" s="18"/>
    </row>
    <row r="18" spans="1:135" hidden="1" x14ac:dyDescent="0.25">
      <c r="B18" s="4" t="s">
        <v>13</v>
      </c>
      <c r="D18" s="12">
        <f>ROUND((2%+3%)/2,4)</f>
        <v>2.5000000000000001E-2</v>
      </c>
      <c r="E18" s="4" t="s">
        <v>14</v>
      </c>
      <c r="F18" s="4" t="s">
        <v>39</v>
      </c>
      <c r="K18" s="18"/>
      <c r="L18" s="18"/>
      <c r="M18" s="18"/>
    </row>
    <row r="19" spans="1:135" hidden="1" x14ac:dyDescent="0.25">
      <c r="B19" s="4" t="s">
        <v>54</v>
      </c>
      <c r="D19" s="12">
        <f>ROUND(2.5%/7,4)</f>
        <v>3.5999999999999999E-3</v>
      </c>
      <c r="E19" s="4" t="s">
        <v>37</v>
      </c>
      <c r="K19" s="18"/>
      <c r="L19" s="18"/>
      <c r="M19" s="18"/>
    </row>
    <row r="20" spans="1:135" s="15" customFormat="1" ht="15.6" x14ac:dyDescent="0.35">
      <c r="B20" s="15" t="s">
        <v>15</v>
      </c>
      <c r="C20" s="57" t="s">
        <v>158</v>
      </c>
      <c r="D20" s="53">
        <f>D13*D16</f>
        <v>6.5123572353380552E-2</v>
      </c>
      <c r="E20" s="55" t="s">
        <v>156</v>
      </c>
      <c r="F20" s="4"/>
      <c r="G20" s="4"/>
      <c r="H20" s="4"/>
      <c r="I20" s="4"/>
      <c r="J20" s="4"/>
      <c r="K20" s="18"/>
      <c r="L20" s="18"/>
      <c r="M20" s="1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</row>
    <row r="21" spans="1:135" s="9" customFormat="1" x14ac:dyDescent="0.25">
      <c r="B21" s="9" t="s">
        <v>16</v>
      </c>
      <c r="C21" s="9" t="s">
        <v>160</v>
      </c>
      <c r="D21" s="54">
        <f>ROUND($D$9*$D$20*(1-$D$11)+$D$10*D13,4)</f>
        <v>7.7399999999999997E-2</v>
      </c>
      <c r="E21" s="56" t="s">
        <v>153</v>
      </c>
    </row>
    <row r="22" spans="1:135" x14ac:dyDescent="0.25">
      <c r="D22" s="11"/>
    </row>
    <row r="23" spans="1:135" s="9" customFormat="1" x14ac:dyDescent="0.25">
      <c r="B23" s="9" t="s">
        <v>17</v>
      </c>
      <c r="C23" s="9" t="s">
        <v>161</v>
      </c>
      <c r="D23" s="10"/>
    </row>
    <row r="24" spans="1:135" s="15" customFormat="1" ht="15.6" x14ac:dyDescent="0.35">
      <c r="A24" s="4"/>
      <c r="B24" s="4" t="s">
        <v>18</v>
      </c>
      <c r="C24" s="4" t="str">
        <f>Data!B11</f>
        <v>Low liquidity ratio</v>
      </c>
      <c r="D24" s="19">
        <f>Data!C11</f>
        <v>1.25</v>
      </c>
      <c r="E24" s="4" t="s">
        <v>265</v>
      </c>
      <c r="F24" s="4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</row>
    <row r="25" spans="1:135" s="15" customFormat="1" ht="15.6" x14ac:dyDescent="0.35">
      <c r="B25" s="15" t="s">
        <v>19</v>
      </c>
      <c r="C25" s="15" t="str">
        <f>Data!B12</f>
        <v>Result level adjustment ratio (NOI/FCFF)</v>
      </c>
      <c r="D25" s="140">
        <f>Data!C12</f>
        <v>1.23</v>
      </c>
      <c r="E25" s="59" t="s">
        <v>170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</row>
    <row r="26" spans="1:135" s="9" customFormat="1" ht="15.6" x14ac:dyDescent="0.35">
      <c r="B26" s="9" t="s">
        <v>20</v>
      </c>
      <c r="C26" s="9" t="s">
        <v>162</v>
      </c>
      <c r="D26" s="20">
        <f>ROUND(D21*D24*D25,4)</f>
        <v>0.11899999999999999</v>
      </c>
      <c r="E26" s="9" t="s">
        <v>159</v>
      </c>
    </row>
    <row r="27" spans="1:135" s="9" customFormat="1" x14ac:dyDescent="0.25">
      <c r="D27" s="20"/>
      <c r="E27" s="32" t="s">
        <v>1</v>
      </c>
    </row>
    <row r="28" spans="1:135" s="9" customFormat="1" x14ac:dyDescent="0.25">
      <c r="B28" s="9" t="s">
        <v>21</v>
      </c>
      <c r="C28" s="9" t="s">
        <v>163</v>
      </c>
      <c r="D28" s="20"/>
      <c r="E28" s="32"/>
    </row>
    <row r="29" spans="1:135" ht="14.4" x14ac:dyDescent="0.3">
      <c r="B29" s="4" t="s">
        <v>22</v>
      </c>
      <c r="C29" s="4" t="str">
        <f>Data!B14</f>
        <v>Real estate sector</v>
      </c>
      <c r="D29" s="139">
        <f>Data!D14</f>
        <v>0</v>
      </c>
      <c r="E29" s="21" t="str">
        <f>Data!C14</f>
        <v>Office</v>
      </c>
      <c r="F29" s="27"/>
    </row>
    <row r="30" spans="1:135" ht="15.6" x14ac:dyDescent="0.35">
      <c r="B30" s="4" t="s">
        <v>23</v>
      </c>
      <c r="C30" s="4" t="str">
        <f>Data!B15</f>
        <v>Location (city/region)</v>
      </c>
      <c r="D30" s="139">
        <f>Data!D15</f>
        <v>-7.8571428571428625E-2</v>
      </c>
      <c r="E30" s="21" t="str">
        <f>Data!C15</f>
        <v>Warszawa</v>
      </c>
      <c r="F30" s="27"/>
    </row>
    <row r="31" spans="1:135" s="9" customFormat="1" ht="15.6" x14ac:dyDescent="0.35">
      <c r="B31" s="4" t="s">
        <v>25</v>
      </c>
      <c r="C31" s="4" t="str">
        <f>Data!B16</f>
        <v>Detailed location of the property (e.g. district)</v>
      </c>
      <c r="D31" s="139">
        <f>Data!D16</f>
        <v>-7.1428571428571397E-2</v>
      </c>
      <c r="E31" s="21" t="str">
        <f>Data!C16</f>
        <v>Class A location</v>
      </c>
      <c r="F31" s="36"/>
      <c r="M31" s="22"/>
    </row>
    <row r="32" spans="1:135" ht="14.4" x14ac:dyDescent="0.3">
      <c r="B32" s="4" t="s">
        <v>26</v>
      </c>
      <c r="C32" s="4" t="str">
        <f>Data!B17</f>
        <v>Building standard (class, quality)</v>
      </c>
      <c r="D32" s="139">
        <f>Data!D17</f>
        <v>-0.11111111111111116</v>
      </c>
      <c r="E32" s="21" t="str">
        <f>Data!C17</f>
        <v>Class A</v>
      </c>
      <c r="F32" s="27"/>
    </row>
    <row r="33" spans="1:135" s="9" customFormat="1" ht="15.6" x14ac:dyDescent="0.35">
      <c r="B33" s="4" t="s">
        <v>27</v>
      </c>
      <c r="C33" s="4" t="str">
        <f>Data!B18</f>
        <v>Quality of tenants, terms of contracts</v>
      </c>
      <c r="D33" s="139">
        <f>Data!D18</f>
        <v>0</v>
      </c>
      <c r="E33" s="4" t="str">
        <f>Data!C18</f>
        <v>rate for standard contracts and tenants</v>
      </c>
    </row>
    <row r="34" spans="1:135" s="9" customFormat="1" ht="15.6" x14ac:dyDescent="0.35">
      <c r="B34" s="4" t="s">
        <v>28</v>
      </c>
      <c r="C34" s="4" t="str">
        <f>Data!B19</f>
        <v>Construction Risk</v>
      </c>
      <c r="D34" s="139">
        <f>Data!D19</f>
        <v>0</v>
      </c>
      <c r="E34" s="4" t="str">
        <f>Data!C19</f>
        <v xml:space="preserve">building does not require renovation </v>
      </c>
      <c r="F34" s="4"/>
    </row>
    <row r="35" spans="1:135" s="24" customFormat="1" ht="15" thickBot="1" x14ac:dyDescent="0.35">
      <c r="A35" s="15"/>
      <c r="B35" s="15" t="s">
        <v>24</v>
      </c>
      <c r="C35" s="15" t="str">
        <f>Data!B20</f>
        <v xml:space="preserve">Other </v>
      </c>
      <c r="D35" s="23">
        <f>Data!D20</f>
        <v>0</v>
      </c>
      <c r="E35" s="15">
        <f>Data!C20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</row>
    <row r="36" spans="1:135" ht="15.6" x14ac:dyDescent="0.35">
      <c r="B36" s="25" t="s">
        <v>29</v>
      </c>
      <c r="C36" s="25" t="s">
        <v>166</v>
      </c>
      <c r="D36" s="23">
        <f>(1+D29)*(1+D30)*(1+D31)*(1+D32)*(1+D33)*(1+D34)*(1+D35)-1</f>
        <v>-0.23945578231292519</v>
      </c>
      <c r="E36" s="26" t="s">
        <v>165</v>
      </c>
    </row>
    <row r="37" spans="1:135" s="9" customFormat="1" x14ac:dyDescent="0.25">
      <c r="B37" s="9" t="s">
        <v>30</v>
      </c>
      <c r="C37" s="9" t="s">
        <v>167</v>
      </c>
      <c r="D37" s="20">
        <f>D26*(1+D36)</f>
        <v>9.0504761904761893E-2</v>
      </c>
      <c r="E37" s="9" t="s">
        <v>159</v>
      </c>
      <c r="F37" s="4"/>
    </row>
    <row r="38" spans="1:135" x14ac:dyDescent="0.25">
      <c r="B38" s="4" t="s">
        <v>168</v>
      </c>
      <c r="C38" s="4" t="s">
        <v>168</v>
      </c>
      <c r="D38" s="12">
        <f>IF(Data!C22="EUR",Growth!N4,Growth!N3)</f>
        <v>2.8191286113650304E-2</v>
      </c>
      <c r="E38" s="4" t="str">
        <f>Growth!A1</f>
        <v>Geometric mean of forecasted inflation for 10 years</v>
      </c>
    </row>
    <row r="39" spans="1:135" s="9" customFormat="1" x14ac:dyDescent="0.25">
      <c r="B39" s="9" t="s">
        <v>31</v>
      </c>
      <c r="C39" s="9" t="s">
        <v>169</v>
      </c>
      <c r="D39" s="17">
        <f>D37-D38</f>
        <v>6.2313475791111586E-2</v>
      </c>
      <c r="E39" s="36" t="s">
        <v>32</v>
      </c>
      <c r="F39" s="4"/>
    </row>
    <row r="40" spans="1:135" x14ac:dyDescent="0.25">
      <c r="B40" s="4" t="s">
        <v>33</v>
      </c>
      <c r="C40" s="4" t="s">
        <v>266</v>
      </c>
      <c r="D40" s="12">
        <f>D37-D6</f>
        <v>3.3204761904761897E-2</v>
      </c>
      <c r="E40" s="4" t="s">
        <v>34</v>
      </c>
    </row>
    <row r="44" spans="1:135" s="143" customFormat="1" x14ac:dyDescent="0.25">
      <c r="C44" s="143" t="s">
        <v>264</v>
      </c>
      <c r="D44" s="144">
        <v>5.7500000000000002E-2</v>
      </c>
      <c r="E44" s="144">
        <f>D39-D44</f>
        <v>4.8134757911115836E-3</v>
      </c>
    </row>
    <row r="45" spans="1:135" s="143" customFormat="1" x14ac:dyDescent="0.25">
      <c r="C45" s="143" t="s">
        <v>263</v>
      </c>
      <c r="D45" s="145">
        <v>0.05</v>
      </c>
    </row>
  </sheetData>
  <hyperlinks>
    <hyperlink ref="F17" r:id="rId1" xr:uid="{00000000-0004-0000-0A00-000003000000}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2"/>
  <headerFooter>
    <oddFooter>&amp;R© Dariusz Trojanowski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2D423-6D4C-48F6-8EEC-4F0ADFDE8B0D}">
  <sheetPr>
    <tabColor rgb="FFFF0000"/>
  </sheetPr>
  <dimension ref="A1:I143"/>
  <sheetViews>
    <sheetView zoomScaleNormal="100" zoomScaleSheetLayoutView="83" workbookViewId="0"/>
  </sheetViews>
  <sheetFormatPr defaultRowHeight="14.4" x14ac:dyDescent="0.3"/>
  <cols>
    <col min="1" max="1" width="9.33203125" style="37" customWidth="1"/>
    <col min="2" max="2" width="48.44140625" style="37" hidden="1" customWidth="1"/>
    <col min="3" max="3" width="48.44140625" style="37" customWidth="1"/>
    <col min="4" max="4" width="15.6640625" style="37" customWidth="1"/>
    <col min="5" max="5" width="14.6640625" style="37" hidden="1" customWidth="1"/>
    <col min="6" max="6" width="14.6640625" style="37" customWidth="1"/>
    <col min="7" max="7" width="14.6640625" style="81" customWidth="1"/>
    <col min="8" max="8" width="14.6640625" style="38" customWidth="1"/>
    <col min="9" max="9" width="11" style="37" bestFit="1" customWidth="1"/>
    <col min="10" max="16384" width="8.88671875" style="37"/>
  </cols>
  <sheetData>
    <row r="1" spans="1:8" ht="18" x14ac:dyDescent="0.35">
      <c r="A1" s="146"/>
      <c r="B1" s="147"/>
      <c r="C1" s="148" t="s">
        <v>209</v>
      </c>
      <c r="D1" s="147"/>
      <c r="E1" s="147"/>
      <c r="F1" s="147"/>
      <c r="G1" s="149"/>
      <c r="H1" s="150"/>
    </row>
    <row r="2" spans="1:8" x14ac:dyDescent="0.3">
      <c r="A2" s="151" t="s">
        <v>184</v>
      </c>
      <c r="B2" s="87"/>
      <c r="C2" s="87"/>
      <c r="D2" s="88" t="s">
        <v>185</v>
      </c>
      <c r="E2" s="89" t="s">
        <v>97</v>
      </c>
      <c r="F2" s="89" t="s">
        <v>177</v>
      </c>
      <c r="G2" s="90" t="s">
        <v>258</v>
      </c>
      <c r="H2" s="96" t="s">
        <v>202</v>
      </c>
    </row>
    <row r="3" spans="1:8" x14ac:dyDescent="0.3">
      <c r="A3" s="152"/>
      <c r="B3" s="63" t="s">
        <v>98</v>
      </c>
      <c r="C3" s="63" t="s">
        <v>175</v>
      </c>
      <c r="D3" s="63"/>
      <c r="E3" s="64" t="s">
        <v>178</v>
      </c>
      <c r="F3" s="64" t="s">
        <v>182</v>
      </c>
      <c r="G3" s="85">
        <f>35</f>
        <v>35</v>
      </c>
      <c r="H3" s="86"/>
    </row>
    <row r="4" spans="1:8" x14ac:dyDescent="0.3">
      <c r="A4" s="153"/>
      <c r="B4" s="63" t="s">
        <v>99</v>
      </c>
      <c r="C4" s="63" t="s">
        <v>174</v>
      </c>
      <c r="D4" s="63"/>
      <c r="E4" s="64" t="s">
        <v>178</v>
      </c>
      <c r="F4" s="64" t="s">
        <v>182</v>
      </c>
      <c r="G4" s="85">
        <f>5</f>
        <v>5</v>
      </c>
      <c r="H4" s="86"/>
    </row>
    <row r="5" spans="1:8" x14ac:dyDescent="0.3">
      <c r="A5" s="153"/>
      <c r="B5" s="63" t="s">
        <v>100</v>
      </c>
      <c r="C5" s="63" t="s">
        <v>176</v>
      </c>
      <c r="D5" s="63"/>
      <c r="E5" s="64" t="s">
        <v>179</v>
      </c>
      <c r="F5" s="64" t="s">
        <v>183</v>
      </c>
      <c r="G5" s="85">
        <v>0</v>
      </c>
      <c r="H5" s="86"/>
    </row>
    <row r="6" spans="1:8" x14ac:dyDescent="0.3">
      <c r="A6" s="153"/>
      <c r="B6" s="63"/>
      <c r="C6" s="63" t="s">
        <v>196</v>
      </c>
      <c r="D6" s="63"/>
      <c r="E6" s="64"/>
      <c r="F6" s="64" t="s">
        <v>183</v>
      </c>
      <c r="G6" s="94">
        <f>ROUND(40000/4.3*12,0)</f>
        <v>111628</v>
      </c>
      <c r="H6" s="86"/>
    </row>
    <row r="7" spans="1:8" x14ac:dyDescent="0.3">
      <c r="A7" s="153"/>
      <c r="B7" s="63"/>
      <c r="C7" s="63"/>
      <c r="D7" s="63"/>
      <c r="E7" s="64"/>
      <c r="F7" s="64"/>
      <c r="G7" s="82"/>
      <c r="H7" s="86"/>
    </row>
    <row r="8" spans="1:8" x14ac:dyDescent="0.3">
      <c r="A8" s="153"/>
      <c r="B8" s="63" t="s">
        <v>101</v>
      </c>
      <c r="C8" s="63" t="s">
        <v>181</v>
      </c>
      <c r="D8" s="63"/>
      <c r="E8" s="64" t="s">
        <v>102</v>
      </c>
      <c r="F8" s="64" t="s">
        <v>102</v>
      </c>
      <c r="G8" s="85">
        <v>55000</v>
      </c>
      <c r="H8" s="86"/>
    </row>
    <row r="9" spans="1:8" x14ac:dyDescent="0.3">
      <c r="A9" s="153"/>
      <c r="B9" s="63" t="s">
        <v>0</v>
      </c>
      <c r="C9" s="63" t="s">
        <v>191</v>
      </c>
      <c r="D9" s="63"/>
      <c r="E9" s="64"/>
      <c r="F9" s="64"/>
      <c r="G9" s="102">
        <v>0.95</v>
      </c>
      <c r="H9" s="86"/>
    </row>
    <row r="10" spans="1:8" x14ac:dyDescent="0.3">
      <c r="A10" s="153"/>
      <c r="B10" s="63"/>
      <c r="C10" s="63" t="s">
        <v>203</v>
      </c>
      <c r="D10" s="63"/>
      <c r="E10" s="64"/>
      <c r="F10" s="64"/>
      <c r="G10" s="102">
        <v>2.5000000000000001E-2</v>
      </c>
      <c r="H10" s="86"/>
    </row>
    <row r="11" spans="1:8" x14ac:dyDescent="0.3">
      <c r="A11" s="153"/>
      <c r="B11" s="63"/>
      <c r="C11" s="63" t="s">
        <v>204</v>
      </c>
      <c r="D11" s="63"/>
      <c r="E11" s="64"/>
      <c r="F11" s="64" t="s">
        <v>205</v>
      </c>
      <c r="G11" s="103">
        <v>2000</v>
      </c>
      <c r="H11" s="86"/>
    </row>
    <row r="12" spans="1:8" x14ac:dyDescent="0.3">
      <c r="A12" s="153"/>
      <c r="B12" s="63"/>
      <c r="C12" s="74" t="s">
        <v>200</v>
      </c>
      <c r="D12" s="63"/>
      <c r="E12" s="64"/>
      <c r="F12" s="64"/>
      <c r="G12" s="103">
        <v>0</v>
      </c>
      <c r="H12" s="86"/>
    </row>
    <row r="13" spans="1:8" x14ac:dyDescent="0.3">
      <c r="A13" s="153"/>
      <c r="B13" s="63"/>
      <c r="C13" s="74" t="s">
        <v>207</v>
      </c>
      <c r="D13" s="63"/>
      <c r="E13" s="64"/>
      <c r="F13" s="64"/>
      <c r="G13" s="102">
        <v>0.02</v>
      </c>
      <c r="H13" s="86"/>
    </row>
    <row r="14" spans="1:8" x14ac:dyDescent="0.3">
      <c r="A14" s="153"/>
      <c r="B14" s="65"/>
      <c r="C14" s="65"/>
      <c r="D14" s="65"/>
      <c r="E14" s="66"/>
      <c r="F14" s="66"/>
      <c r="G14" s="83"/>
      <c r="H14" s="97"/>
    </row>
    <row r="15" spans="1:8" x14ac:dyDescent="0.3">
      <c r="A15" s="154" t="s">
        <v>2</v>
      </c>
      <c r="B15" s="67" t="s">
        <v>110</v>
      </c>
      <c r="C15" s="68" t="s">
        <v>187</v>
      </c>
      <c r="D15" s="63"/>
      <c r="E15" s="64" t="s">
        <v>180</v>
      </c>
      <c r="F15" s="64" t="s">
        <v>180</v>
      </c>
      <c r="G15" s="82">
        <f>G8*G3*12</f>
        <v>23100000</v>
      </c>
      <c r="H15" s="86"/>
    </row>
    <row r="16" spans="1:8" x14ac:dyDescent="0.3">
      <c r="A16" s="154" t="s">
        <v>3</v>
      </c>
      <c r="B16" s="67" t="s">
        <v>111</v>
      </c>
      <c r="C16" s="68" t="s">
        <v>188</v>
      </c>
      <c r="D16" s="63"/>
      <c r="E16" s="64" t="s">
        <v>180</v>
      </c>
      <c r="F16" s="64" t="s">
        <v>180</v>
      </c>
      <c r="G16" s="82">
        <f>G8*G4*12</f>
        <v>3300000</v>
      </c>
      <c r="H16" s="86"/>
    </row>
    <row r="17" spans="1:9" ht="15" thickBot="1" x14ac:dyDescent="0.35">
      <c r="A17" s="155" t="s">
        <v>4</v>
      </c>
      <c r="B17" s="69" t="s">
        <v>112</v>
      </c>
      <c r="C17" s="70" t="s">
        <v>186</v>
      </c>
      <c r="D17" s="71" t="s">
        <v>113</v>
      </c>
      <c r="E17" s="72" t="s">
        <v>180</v>
      </c>
      <c r="F17" s="72" t="s">
        <v>180</v>
      </c>
      <c r="G17" s="84">
        <f>G15+G16</f>
        <v>26400000</v>
      </c>
      <c r="H17" s="98"/>
    </row>
    <row r="18" spans="1:9" x14ac:dyDescent="0.3">
      <c r="A18" s="154" t="s">
        <v>114</v>
      </c>
      <c r="B18" s="63" t="s">
        <v>103</v>
      </c>
      <c r="C18" s="68" t="s">
        <v>190</v>
      </c>
      <c r="D18" s="73"/>
      <c r="E18" s="64" t="s">
        <v>180</v>
      </c>
      <c r="F18" s="64" t="s">
        <v>180</v>
      </c>
      <c r="G18" s="82">
        <f>G8*G9*G3*12</f>
        <v>21945000</v>
      </c>
      <c r="H18" s="86"/>
    </row>
    <row r="19" spans="1:9" x14ac:dyDescent="0.3">
      <c r="A19" s="154" t="s">
        <v>115</v>
      </c>
      <c r="B19" s="63" t="s">
        <v>104</v>
      </c>
      <c r="C19" s="68" t="s">
        <v>189</v>
      </c>
      <c r="D19" s="73"/>
      <c r="E19" s="64" t="s">
        <v>180</v>
      </c>
      <c r="F19" s="64" t="s">
        <v>180</v>
      </c>
      <c r="G19" s="82">
        <f>G8*G9*G4*12</f>
        <v>3135000</v>
      </c>
      <c r="H19" s="86"/>
    </row>
    <row r="20" spans="1:9" ht="15" thickBot="1" x14ac:dyDescent="0.35">
      <c r="A20" s="155" t="s">
        <v>116</v>
      </c>
      <c r="B20" s="70" t="s">
        <v>105</v>
      </c>
      <c r="C20" s="70" t="s">
        <v>201</v>
      </c>
      <c r="D20" s="71" t="s">
        <v>117</v>
      </c>
      <c r="E20" s="72" t="s">
        <v>180</v>
      </c>
      <c r="F20" s="72" t="s">
        <v>180</v>
      </c>
      <c r="G20" s="84">
        <f>G18+G19</f>
        <v>25080000</v>
      </c>
      <c r="H20" s="98"/>
    </row>
    <row r="21" spans="1:9" x14ac:dyDescent="0.3">
      <c r="A21" s="154" t="s">
        <v>118</v>
      </c>
      <c r="B21" s="63" t="s">
        <v>106</v>
      </c>
      <c r="C21" s="63" t="s">
        <v>192</v>
      </c>
      <c r="D21" s="73"/>
      <c r="E21" s="64" t="s">
        <v>180</v>
      </c>
      <c r="F21" s="64" t="s">
        <v>180</v>
      </c>
      <c r="G21" s="82">
        <f>G4*G8*12</f>
        <v>3300000</v>
      </c>
      <c r="H21" s="86">
        <f>G21/G20</f>
        <v>0.13157894736842105</v>
      </c>
    </row>
    <row r="22" spans="1:9" x14ac:dyDescent="0.3">
      <c r="A22" s="154" t="s">
        <v>119</v>
      </c>
      <c r="B22" s="63" t="s">
        <v>100</v>
      </c>
      <c r="C22" s="63" t="s">
        <v>193</v>
      </c>
      <c r="D22" s="73"/>
      <c r="E22" s="64" t="s">
        <v>180</v>
      </c>
      <c r="F22" s="64" t="s">
        <v>180</v>
      </c>
      <c r="G22" s="82">
        <f>G5</f>
        <v>0</v>
      </c>
      <c r="H22" s="86">
        <f>G22/G20</f>
        <v>0</v>
      </c>
    </row>
    <row r="23" spans="1:9" ht="15" thickBot="1" x14ac:dyDescent="0.35">
      <c r="A23" s="155" t="s">
        <v>120</v>
      </c>
      <c r="B23" s="70" t="s">
        <v>107</v>
      </c>
      <c r="C23" s="70" t="s">
        <v>194</v>
      </c>
      <c r="D23" s="71" t="s">
        <v>121</v>
      </c>
      <c r="E23" s="72" t="s">
        <v>180</v>
      </c>
      <c r="F23" s="72" t="s">
        <v>180</v>
      </c>
      <c r="G23" s="84">
        <f>G21+G22</f>
        <v>3300000</v>
      </c>
      <c r="H23" s="98">
        <f>G23/G20</f>
        <v>0.13157894736842105</v>
      </c>
    </row>
    <row r="24" spans="1:9" ht="15" thickBot="1" x14ac:dyDescent="0.35">
      <c r="A24" s="156" t="s">
        <v>122</v>
      </c>
      <c r="B24" s="76" t="s">
        <v>108</v>
      </c>
      <c r="C24" s="77" t="s">
        <v>195</v>
      </c>
      <c r="D24" s="77" t="s">
        <v>123</v>
      </c>
      <c r="E24" s="66" t="s">
        <v>180</v>
      </c>
      <c r="F24" s="77" t="s">
        <v>180</v>
      </c>
      <c r="G24" s="91">
        <f>G20-G23</f>
        <v>21780000</v>
      </c>
      <c r="H24" s="99">
        <f>G24/G20</f>
        <v>0.86842105263157898</v>
      </c>
    </row>
    <row r="25" spans="1:9" x14ac:dyDescent="0.3">
      <c r="A25" s="154" t="s">
        <v>124</v>
      </c>
      <c r="B25" s="74" t="s">
        <v>125</v>
      </c>
      <c r="C25" s="78" t="s">
        <v>196</v>
      </c>
      <c r="D25" s="73"/>
      <c r="F25" s="73"/>
      <c r="G25" s="92">
        <f>G6</f>
        <v>111628</v>
      </c>
      <c r="H25" s="100">
        <f>G25/G20</f>
        <v>4.4508771929824562E-3</v>
      </c>
    </row>
    <row r="26" spans="1:9" ht="15" thickBot="1" x14ac:dyDescent="0.35">
      <c r="A26" s="155" t="s">
        <v>126</v>
      </c>
      <c r="B26" s="75" t="s">
        <v>41</v>
      </c>
      <c r="C26" s="75" t="s">
        <v>41</v>
      </c>
      <c r="D26" s="71" t="s">
        <v>127</v>
      </c>
      <c r="E26" s="80"/>
      <c r="F26" s="71"/>
      <c r="G26" s="93">
        <f>G24-G25</f>
        <v>21668372</v>
      </c>
      <c r="H26" s="101">
        <f>G26/G20</f>
        <v>0.86397017543859644</v>
      </c>
    </row>
    <row r="27" spans="1:9" x14ac:dyDescent="0.3">
      <c r="A27" s="154" t="s">
        <v>128</v>
      </c>
      <c r="B27" s="74" t="s">
        <v>42</v>
      </c>
      <c r="C27" s="157" t="s">
        <v>197</v>
      </c>
      <c r="D27" s="73"/>
      <c r="F27" s="73"/>
      <c r="G27" s="92">
        <f>G8*G11*G10</f>
        <v>2750000</v>
      </c>
      <c r="H27" s="100">
        <f>G27/G20</f>
        <v>0.10964912280701754</v>
      </c>
      <c r="I27" s="39"/>
    </row>
    <row r="28" spans="1:9" ht="15" thickBot="1" x14ac:dyDescent="0.35">
      <c r="A28" s="155" t="s">
        <v>129</v>
      </c>
      <c r="B28" s="75" t="s">
        <v>43</v>
      </c>
      <c r="C28" s="75" t="s">
        <v>43</v>
      </c>
      <c r="D28" s="71" t="s">
        <v>130</v>
      </c>
      <c r="F28" s="71"/>
      <c r="G28" s="93">
        <f>G26-G27</f>
        <v>18918372</v>
      </c>
      <c r="H28" s="101">
        <f>G28/G20</f>
        <v>0.75432105263157889</v>
      </c>
    </row>
    <row r="29" spans="1:9" x14ac:dyDescent="0.3">
      <c r="A29" s="154" t="s">
        <v>131</v>
      </c>
      <c r="B29" s="74" t="s">
        <v>132</v>
      </c>
      <c r="C29" s="157" t="s">
        <v>198</v>
      </c>
      <c r="D29" s="95">
        <f>Data!C7</f>
        <v>0.19</v>
      </c>
      <c r="F29" s="73"/>
      <c r="G29" s="92">
        <f>G28*D29</f>
        <v>3594490.68</v>
      </c>
      <c r="H29" s="100">
        <f>G29/G20</f>
        <v>0.143321</v>
      </c>
    </row>
    <row r="30" spans="1:9" ht="15" thickBot="1" x14ac:dyDescent="0.35">
      <c r="A30" s="155" t="s">
        <v>133</v>
      </c>
      <c r="B30" s="75" t="s">
        <v>134</v>
      </c>
      <c r="C30" s="75" t="s">
        <v>134</v>
      </c>
      <c r="D30" s="71" t="s">
        <v>135</v>
      </c>
      <c r="F30" s="71"/>
      <c r="G30" s="93">
        <f>G28-G29</f>
        <v>15323881.32</v>
      </c>
      <c r="H30" s="101">
        <f>G30/G20</f>
        <v>0.61100005263157897</v>
      </c>
    </row>
    <row r="31" spans="1:9" x14ac:dyDescent="0.3">
      <c r="A31" s="154" t="s">
        <v>136</v>
      </c>
      <c r="B31" s="74" t="s">
        <v>42</v>
      </c>
      <c r="C31" s="74" t="str">
        <f>C27</f>
        <v>Depreciation</v>
      </c>
      <c r="D31" s="73"/>
      <c r="F31" s="73"/>
      <c r="G31" s="92">
        <f>G27</f>
        <v>2750000</v>
      </c>
      <c r="H31" s="100">
        <f>G31/G20</f>
        <v>0.10964912280701754</v>
      </c>
    </row>
    <row r="32" spans="1:9" x14ac:dyDescent="0.3">
      <c r="A32" s="154" t="s">
        <v>137</v>
      </c>
      <c r="B32" s="74" t="s">
        <v>138</v>
      </c>
      <c r="C32" s="74" t="s">
        <v>199</v>
      </c>
      <c r="D32" s="73"/>
      <c r="F32" s="73"/>
      <c r="G32" s="92">
        <f>G13*G24</f>
        <v>435600</v>
      </c>
      <c r="H32" s="100">
        <f>G32/G20</f>
        <v>1.7368421052631578E-2</v>
      </c>
    </row>
    <row r="33" spans="1:9" x14ac:dyDescent="0.3">
      <c r="A33" s="154" t="s">
        <v>139</v>
      </c>
      <c r="B33" s="74" t="s">
        <v>24</v>
      </c>
      <c r="C33" s="74" t="s">
        <v>200</v>
      </c>
      <c r="D33" s="73"/>
      <c r="F33" s="73"/>
      <c r="G33" s="92">
        <f>G12</f>
        <v>0</v>
      </c>
      <c r="H33" s="100">
        <f>G33/G20</f>
        <v>0</v>
      </c>
    </row>
    <row r="34" spans="1:9" ht="15" thickBot="1" x14ac:dyDescent="0.35">
      <c r="A34" s="155" t="s">
        <v>140</v>
      </c>
      <c r="B34" s="75" t="s">
        <v>44</v>
      </c>
      <c r="C34" s="71" t="s">
        <v>44</v>
      </c>
      <c r="D34" s="71" t="s">
        <v>206</v>
      </c>
      <c r="F34" s="71"/>
      <c r="G34" s="93">
        <f>G30+G31-G32-G33</f>
        <v>17638281.32</v>
      </c>
      <c r="H34" s="101">
        <f>G34/G20</f>
        <v>0.70328075438596493</v>
      </c>
    </row>
    <row r="35" spans="1:9" x14ac:dyDescent="0.3">
      <c r="A35" s="158"/>
      <c r="B35" s="159"/>
      <c r="C35" s="160" t="s">
        <v>260</v>
      </c>
      <c r="D35" s="160" t="s">
        <v>208</v>
      </c>
      <c r="E35" s="161"/>
      <c r="F35" s="160"/>
      <c r="G35" s="162">
        <f>ROUND(G24/G34,2)</f>
        <v>1.23</v>
      </c>
      <c r="H35" s="163"/>
    </row>
    <row r="37" spans="1:9" ht="18" x14ac:dyDescent="0.35">
      <c r="C37" s="104" t="s">
        <v>71</v>
      </c>
    </row>
    <row r="38" spans="1:9" x14ac:dyDescent="0.3">
      <c r="A38" s="151" t="s">
        <v>184</v>
      </c>
      <c r="B38" s="87"/>
      <c r="C38" s="87"/>
      <c r="D38" s="88" t="s">
        <v>185</v>
      </c>
      <c r="E38" s="89" t="s">
        <v>97</v>
      </c>
      <c r="F38" s="89" t="s">
        <v>177</v>
      </c>
      <c r="G38" s="90" t="s">
        <v>109</v>
      </c>
      <c r="H38" s="96" t="s">
        <v>202</v>
      </c>
    </row>
    <row r="39" spans="1:9" x14ac:dyDescent="0.3">
      <c r="A39" s="152"/>
      <c r="B39" s="63" t="s">
        <v>98</v>
      </c>
      <c r="C39" s="63" t="s">
        <v>175</v>
      </c>
      <c r="D39" s="63"/>
      <c r="E39" s="64" t="s">
        <v>178</v>
      </c>
      <c r="F39" s="64" t="s">
        <v>182</v>
      </c>
      <c r="G39" s="85">
        <v>15</v>
      </c>
      <c r="H39" s="86"/>
    </row>
    <row r="40" spans="1:9" x14ac:dyDescent="0.3">
      <c r="A40" s="153"/>
      <c r="B40" s="63" t="s">
        <v>99</v>
      </c>
      <c r="C40" s="63" t="s">
        <v>174</v>
      </c>
      <c r="D40" s="63"/>
      <c r="E40" s="64" t="s">
        <v>178</v>
      </c>
      <c r="F40" s="64" t="s">
        <v>182</v>
      </c>
      <c r="G40" s="85">
        <f>5</f>
        <v>5</v>
      </c>
      <c r="H40" s="86"/>
      <c r="I40" s="79"/>
    </row>
    <row r="41" spans="1:9" x14ac:dyDescent="0.3">
      <c r="A41" s="153"/>
      <c r="B41" s="63" t="s">
        <v>100</v>
      </c>
      <c r="C41" s="63" t="s">
        <v>176</v>
      </c>
      <c r="D41" s="63"/>
      <c r="E41" s="64" t="s">
        <v>179</v>
      </c>
      <c r="F41" s="64" t="s">
        <v>183</v>
      </c>
      <c r="G41" s="85">
        <v>0</v>
      </c>
      <c r="H41" s="86"/>
    </row>
    <row r="42" spans="1:9" x14ac:dyDescent="0.3">
      <c r="A42" s="153"/>
      <c r="B42" s="63"/>
      <c r="C42" s="63" t="s">
        <v>196</v>
      </c>
      <c r="D42" s="63"/>
      <c r="E42" s="64"/>
      <c r="F42" s="64" t="s">
        <v>183</v>
      </c>
      <c r="G42" s="94">
        <f>ROUND(40000/4.3*12,0)</f>
        <v>111628</v>
      </c>
      <c r="H42" s="86"/>
    </row>
    <row r="43" spans="1:9" x14ac:dyDescent="0.3">
      <c r="A43" s="153"/>
      <c r="B43" s="63"/>
      <c r="C43" s="63"/>
      <c r="D43" s="63"/>
      <c r="E43" s="64"/>
      <c r="F43" s="64"/>
      <c r="G43" s="82"/>
      <c r="H43" s="86"/>
      <c r="I43" s="39"/>
    </row>
    <row r="44" spans="1:9" x14ac:dyDescent="0.3">
      <c r="A44" s="153"/>
      <c r="B44" s="63" t="s">
        <v>101</v>
      </c>
      <c r="C44" s="63" t="s">
        <v>181</v>
      </c>
      <c r="D44" s="63"/>
      <c r="E44" s="64" t="s">
        <v>102</v>
      </c>
      <c r="F44" s="64" t="s">
        <v>102</v>
      </c>
      <c r="G44" s="105">
        <v>15000</v>
      </c>
      <c r="H44" s="86"/>
      <c r="I44" s="39"/>
    </row>
    <row r="45" spans="1:9" x14ac:dyDescent="0.3">
      <c r="A45" s="153"/>
      <c r="B45" s="63" t="s">
        <v>0</v>
      </c>
      <c r="C45" s="63" t="s">
        <v>191</v>
      </c>
      <c r="D45" s="63"/>
      <c r="E45" s="64"/>
      <c r="F45" s="64"/>
      <c r="G45" s="102">
        <v>0.95</v>
      </c>
      <c r="H45" s="86"/>
    </row>
    <row r="46" spans="1:9" x14ac:dyDescent="0.3">
      <c r="A46" s="153"/>
      <c r="B46" s="63"/>
      <c r="C46" s="63" t="s">
        <v>203</v>
      </c>
      <c r="D46" s="63"/>
      <c r="E46" s="64"/>
      <c r="F46" s="64"/>
      <c r="G46" s="102">
        <v>2.5000000000000001E-2</v>
      </c>
      <c r="H46" s="86"/>
    </row>
    <row r="47" spans="1:9" x14ac:dyDescent="0.3">
      <c r="A47" s="153"/>
      <c r="B47" s="63"/>
      <c r="C47" s="63" t="s">
        <v>204</v>
      </c>
      <c r="D47" s="63"/>
      <c r="E47" s="64"/>
      <c r="F47" s="64" t="s">
        <v>205</v>
      </c>
      <c r="G47" s="103">
        <v>2200</v>
      </c>
      <c r="H47" s="86"/>
    </row>
    <row r="48" spans="1:9" x14ac:dyDescent="0.3">
      <c r="A48" s="153"/>
      <c r="B48" s="63"/>
      <c r="C48" s="74" t="s">
        <v>200</v>
      </c>
      <c r="D48" s="63"/>
      <c r="E48" s="64"/>
      <c r="F48" s="64"/>
      <c r="G48" s="103">
        <v>0</v>
      </c>
      <c r="H48" s="86"/>
    </row>
    <row r="49" spans="1:8" x14ac:dyDescent="0.3">
      <c r="A49" s="153"/>
      <c r="B49" s="63"/>
      <c r="C49" s="74" t="s">
        <v>207</v>
      </c>
      <c r="D49" s="63"/>
      <c r="E49" s="64"/>
      <c r="F49" s="64"/>
      <c r="G49" s="102">
        <v>0.02</v>
      </c>
      <c r="H49" s="86"/>
    </row>
    <row r="50" spans="1:8" x14ac:dyDescent="0.3">
      <c r="A50" s="153"/>
      <c r="B50" s="65"/>
      <c r="C50" s="65"/>
      <c r="D50" s="65"/>
      <c r="E50" s="66"/>
      <c r="F50" s="66"/>
      <c r="G50" s="83"/>
      <c r="H50" s="97"/>
    </row>
    <row r="51" spans="1:8" x14ac:dyDescent="0.3">
      <c r="A51" s="154" t="s">
        <v>2</v>
      </c>
      <c r="B51" s="67" t="s">
        <v>110</v>
      </c>
      <c r="C51" s="68" t="s">
        <v>187</v>
      </c>
      <c r="D51" s="63"/>
      <c r="E51" s="64" t="s">
        <v>180</v>
      </c>
      <c r="F51" s="64" t="s">
        <v>180</v>
      </c>
      <c r="G51" s="82">
        <f>G44*G39*12</f>
        <v>2700000</v>
      </c>
      <c r="H51" s="86"/>
    </row>
    <row r="52" spans="1:8" x14ac:dyDescent="0.3">
      <c r="A52" s="154" t="s">
        <v>3</v>
      </c>
      <c r="B52" s="67" t="s">
        <v>111</v>
      </c>
      <c r="C52" s="68" t="s">
        <v>188</v>
      </c>
      <c r="D52" s="63"/>
      <c r="E52" s="64" t="s">
        <v>180</v>
      </c>
      <c r="F52" s="64" t="s">
        <v>180</v>
      </c>
      <c r="G52" s="82">
        <f>G44*G40*12</f>
        <v>900000</v>
      </c>
      <c r="H52" s="86"/>
    </row>
    <row r="53" spans="1:8" ht="15" thickBot="1" x14ac:dyDescent="0.35">
      <c r="A53" s="155" t="s">
        <v>4</v>
      </c>
      <c r="B53" s="69" t="s">
        <v>112</v>
      </c>
      <c r="C53" s="70" t="s">
        <v>186</v>
      </c>
      <c r="D53" s="71" t="s">
        <v>113</v>
      </c>
      <c r="E53" s="72" t="s">
        <v>180</v>
      </c>
      <c r="F53" s="72" t="s">
        <v>180</v>
      </c>
      <c r="G53" s="84">
        <f>G51+G52</f>
        <v>3600000</v>
      </c>
      <c r="H53" s="98"/>
    </row>
    <row r="54" spans="1:8" x14ac:dyDescent="0.3">
      <c r="A54" s="154" t="s">
        <v>114</v>
      </c>
      <c r="B54" s="63" t="s">
        <v>103</v>
      </c>
      <c r="C54" s="68" t="s">
        <v>190</v>
      </c>
      <c r="D54" s="73"/>
      <c r="E54" s="64" t="s">
        <v>180</v>
      </c>
      <c r="F54" s="64" t="s">
        <v>180</v>
      </c>
      <c r="G54" s="82">
        <f>G44*G45*G39*12</f>
        <v>2565000</v>
      </c>
      <c r="H54" s="86"/>
    </row>
    <row r="55" spans="1:8" x14ac:dyDescent="0.3">
      <c r="A55" s="154" t="s">
        <v>115</v>
      </c>
      <c r="B55" s="63" t="s">
        <v>104</v>
      </c>
      <c r="C55" s="68" t="s">
        <v>189</v>
      </c>
      <c r="D55" s="73"/>
      <c r="E55" s="64" t="s">
        <v>180</v>
      </c>
      <c r="F55" s="64" t="s">
        <v>180</v>
      </c>
      <c r="G55" s="82">
        <f>G44*G45*G40*12</f>
        <v>855000</v>
      </c>
      <c r="H55" s="86"/>
    </row>
    <row r="56" spans="1:8" ht="15" thickBot="1" x14ac:dyDescent="0.35">
      <c r="A56" s="155" t="s">
        <v>116</v>
      </c>
      <c r="B56" s="70" t="s">
        <v>105</v>
      </c>
      <c r="C56" s="70" t="s">
        <v>201</v>
      </c>
      <c r="D56" s="71" t="s">
        <v>117</v>
      </c>
      <c r="E56" s="72" t="s">
        <v>180</v>
      </c>
      <c r="F56" s="72" t="s">
        <v>180</v>
      </c>
      <c r="G56" s="84">
        <f>G54+G55</f>
        <v>3420000</v>
      </c>
      <c r="H56" s="98"/>
    </row>
    <row r="57" spans="1:8" x14ac:dyDescent="0.3">
      <c r="A57" s="154" t="s">
        <v>118</v>
      </c>
      <c r="B57" s="63" t="s">
        <v>106</v>
      </c>
      <c r="C57" s="63" t="s">
        <v>192</v>
      </c>
      <c r="D57" s="73"/>
      <c r="E57" s="64" t="s">
        <v>180</v>
      </c>
      <c r="F57" s="64" t="s">
        <v>180</v>
      </c>
      <c r="G57" s="82">
        <f>G40*G44*12</f>
        <v>900000</v>
      </c>
      <c r="H57" s="86">
        <f>G57/G56</f>
        <v>0.26315789473684209</v>
      </c>
    </row>
    <row r="58" spans="1:8" x14ac:dyDescent="0.3">
      <c r="A58" s="154" t="s">
        <v>119</v>
      </c>
      <c r="B58" s="63" t="s">
        <v>100</v>
      </c>
      <c r="C58" s="63" t="s">
        <v>193</v>
      </c>
      <c r="D58" s="73"/>
      <c r="E58" s="64" t="s">
        <v>180</v>
      </c>
      <c r="F58" s="64" t="s">
        <v>180</v>
      </c>
      <c r="G58" s="82">
        <f>G41</f>
        <v>0</v>
      </c>
      <c r="H58" s="86">
        <f>G58/G56</f>
        <v>0</v>
      </c>
    </row>
    <row r="59" spans="1:8" ht="15" thickBot="1" x14ac:dyDescent="0.35">
      <c r="A59" s="155" t="s">
        <v>120</v>
      </c>
      <c r="B59" s="70" t="s">
        <v>107</v>
      </c>
      <c r="C59" s="70" t="s">
        <v>194</v>
      </c>
      <c r="D59" s="71" t="s">
        <v>121</v>
      </c>
      <c r="E59" s="72" t="s">
        <v>180</v>
      </c>
      <c r="F59" s="72" t="s">
        <v>180</v>
      </c>
      <c r="G59" s="84">
        <f>G57+G58</f>
        <v>900000</v>
      </c>
      <c r="H59" s="98">
        <f>G59/G56</f>
        <v>0.26315789473684209</v>
      </c>
    </row>
    <row r="60" spans="1:8" ht="15" thickBot="1" x14ac:dyDescent="0.35">
      <c r="A60" s="156" t="s">
        <v>122</v>
      </c>
      <c r="B60" s="76" t="s">
        <v>108</v>
      </c>
      <c r="C60" s="77" t="s">
        <v>195</v>
      </c>
      <c r="D60" s="77" t="s">
        <v>123</v>
      </c>
      <c r="E60" s="66" t="s">
        <v>180</v>
      </c>
      <c r="F60" s="77" t="s">
        <v>180</v>
      </c>
      <c r="G60" s="91">
        <f>G56-G59</f>
        <v>2520000</v>
      </c>
      <c r="H60" s="99">
        <f>G60/G56</f>
        <v>0.73684210526315785</v>
      </c>
    </row>
    <row r="61" spans="1:8" x14ac:dyDescent="0.3">
      <c r="A61" s="154" t="s">
        <v>124</v>
      </c>
      <c r="B61" s="74" t="s">
        <v>125</v>
      </c>
      <c r="C61" s="78" t="s">
        <v>196</v>
      </c>
      <c r="D61" s="73"/>
      <c r="F61" s="73"/>
      <c r="G61" s="92">
        <f>G42</f>
        <v>111628</v>
      </c>
      <c r="H61" s="100">
        <f>G61/G56</f>
        <v>3.2639766081871344E-2</v>
      </c>
    </row>
    <row r="62" spans="1:8" ht="15" thickBot="1" x14ac:dyDescent="0.35">
      <c r="A62" s="155" t="s">
        <v>126</v>
      </c>
      <c r="B62" s="75" t="s">
        <v>41</v>
      </c>
      <c r="C62" s="75" t="s">
        <v>41</v>
      </c>
      <c r="D62" s="71" t="s">
        <v>127</v>
      </c>
      <c r="E62" s="80"/>
      <c r="F62" s="71"/>
      <c r="G62" s="93">
        <f>G60-G61</f>
        <v>2408372</v>
      </c>
      <c r="H62" s="101">
        <f>G62/G56</f>
        <v>0.7042023391812865</v>
      </c>
    </row>
    <row r="63" spans="1:8" x14ac:dyDescent="0.3">
      <c r="A63" s="154" t="s">
        <v>128</v>
      </c>
      <c r="B63" s="74" t="s">
        <v>42</v>
      </c>
      <c r="C63" s="157" t="s">
        <v>197</v>
      </c>
      <c r="D63" s="73"/>
      <c r="F63" s="73"/>
      <c r="G63" s="92">
        <f>G44*G47*G46</f>
        <v>825000</v>
      </c>
      <c r="H63" s="100">
        <f>G63/G56</f>
        <v>0.2412280701754386</v>
      </c>
    </row>
    <row r="64" spans="1:8" ht="15" thickBot="1" x14ac:dyDescent="0.35">
      <c r="A64" s="155" t="s">
        <v>129</v>
      </c>
      <c r="B64" s="75" t="s">
        <v>43</v>
      </c>
      <c r="C64" s="75" t="s">
        <v>43</v>
      </c>
      <c r="D64" s="71" t="s">
        <v>130</v>
      </c>
      <c r="F64" s="71"/>
      <c r="G64" s="93">
        <f>G62-G63</f>
        <v>1583372</v>
      </c>
      <c r="H64" s="101">
        <f>G64/G56</f>
        <v>0.46297426900584793</v>
      </c>
    </row>
    <row r="65" spans="1:8" x14ac:dyDescent="0.3">
      <c r="A65" s="154" t="s">
        <v>131</v>
      </c>
      <c r="B65" s="74" t="s">
        <v>132</v>
      </c>
      <c r="C65" s="157" t="s">
        <v>198</v>
      </c>
      <c r="D65" s="95">
        <f>Data!C7</f>
        <v>0.19</v>
      </c>
      <c r="F65" s="73"/>
      <c r="G65" s="92">
        <f>G64*D65</f>
        <v>300840.68</v>
      </c>
      <c r="H65" s="100">
        <f>G65/G56</f>
        <v>8.7965111111111105E-2</v>
      </c>
    </row>
    <row r="66" spans="1:8" ht="15" thickBot="1" x14ac:dyDescent="0.35">
      <c r="A66" s="155" t="s">
        <v>133</v>
      </c>
      <c r="B66" s="75" t="s">
        <v>134</v>
      </c>
      <c r="C66" s="75" t="s">
        <v>134</v>
      </c>
      <c r="D66" s="71" t="s">
        <v>135</v>
      </c>
      <c r="F66" s="71"/>
      <c r="G66" s="93">
        <f>G64-G65</f>
        <v>1282531.32</v>
      </c>
      <c r="H66" s="101">
        <f>G66/G56</f>
        <v>0.37500915789473688</v>
      </c>
    </row>
    <row r="67" spans="1:8" x14ac:dyDescent="0.3">
      <c r="A67" s="154" t="s">
        <v>136</v>
      </c>
      <c r="B67" s="74" t="s">
        <v>42</v>
      </c>
      <c r="C67" s="74" t="str">
        <f>C63</f>
        <v>Depreciation</v>
      </c>
      <c r="D67" s="73"/>
      <c r="F67" s="73"/>
      <c r="G67" s="92">
        <f>G63</f>
        <v>825000</v>
      </c>
      <c r="H67" s="100">
        <f>G67/G56</f>
        <v>0.2412280701754386</v>
      </c>
    </row>
    <row r="68" spans="1:8" x14ac:dyDescent="0.3">
      <c r="A68" s="154" t="s">
        <v>137</v>
      </c>
      <c r="B68" s="74" t="s">
        <v>138</v>
      </c>
      <c r="C68" s="74" t="s">
        <v>199</v>
      </c>
      <c r="D68" s="73"/>
      <c r="F68" s="73"/>
      <c r="G68" s="92">
        <f>G49*G60</f>
        <v>50400</v>
      </c>
      <c r="H68" s="100">
        <f>G68/G56</f>
        <v>1.4736842105263158E-2</v>
      </c>
    </row>
    <row r="69" spans="1:8" x14ac:dyDescent="0.3">
      <c r="A69" s="154" t="s">
        <v>139</v>
      </c>
      <c r="B69" s="74" t="s">
        <v>24</v>
      </c>
      <c r="C69" s="74" t="s">
        <v>200</v>
      </c>
      <c r="D69" s="73"/>
      <c r="F69" s="73"/>
      <c r="G69" s="92">
        <f>G48</f>
        <v>0</v>
      </c>
      <c r="H69" s="100">
        <f>G69/G56</f>
        <v>0</v>
      </c>
    </row>
    <row r="70" spans="1:8" ht="15" thickBot="1" x14ac:dyDescent="0.35">
      <c r="A70" s="155" t="s">
        <v>140</v>
      </c>
      <c r="B70" s="75" t="s">
        <v>44</v>
      </c>
      <c r="C70" s="71" t="s">
        <v>44</v>
      </c>
      <c r="D70" s="71" t="s">
        <v>206</v>
      </c>
      <c r="F70" s="71"/>
      <c r="G70" s="93">
        <f>G66+G67-G68-G69</f>
        <v>2057131.3200000003</v>
      </c>
      <c r="H70" s="101">
        <f>G70/G56</f>
        <v>0.6015003859649124</v>
      </c>
    </row>
    <row r="71" spans="1:8" x14ac:dyDescent="0.3">
      <c r="A71" s="158"/>
      <c r="B71" s="159"/>
      <c r="C71" s="160" t="s">
        <v>260</v>
      </c>
      <c r="D71" s="160" t="s">
        <v>208</v>
      </c>
      <c r="E71" s="161"/>
      <c r="F71" s="160"/>
      <c r="G71" s="162">
        <f>ROUND(G60/G70,2)</f>
        <v>1.23</v>
      </c>
      <c r="H71" s="163"/>
    </row>
    <row r="73" spans="1:8" ht="18" x14ac:dyDescent="0.35">
      <c r="C73" s="104" t="s">
        <v>70</v>
      </c>
    </row>
    <row r="74" spans="1:8" x14ac:dyDescent="0.3">
      <c r="A74" s="151" t="s">
        <v>184</v>
      </c>
      <c r="B74" s="87"/>
      <c r="C74" s="87"/>
      <c r="D74" s="88" t="s">
        <v>185</v>
      </c>
      <c r="E74" s="89" t="s">
        <v>97</v>
      </c>
      <c r="F74" s="89" t="s">
        <v>177</v>
      </c>
      <c r="G74" s="90" t="s">
        <v>109</v>
      </c>
      <c r="H74" s="96" t="s">
        <v>202</v>
      </c>
    </row>
    <row r="75" spans="1:8" x14ac:dyDescent="0.3">
      <c r="A75" s="152"/>
      <c r="B75" s="63" t="s">
        <v>98</v>
      </c>
      <c r="C75" s="63" t="s">
        <v>175</v>
      </c>
      <c r="D75" s="63"/>
      <c r="E75" s="64" t="s">
        <v>178</v>
      </c>
      <c r="F75" s="64" t="s">
        <v>182</v>
      </c>
      <c r="G75" s="85">
        <v>3</v>
      </c>
      <c r="H75" s="86"/>
    </row>
    <row r="76" spans="1:8" x14ac:dyDescent="0.3">
      <c r="A76" s="153"/>
      <c r="B76" s="63" t="s">
        <v>99</v>
      </c>
      <c r="C76" s="63" t="s">
        <v>174</v>
      </c>
      <c r="D76" s="63"/>
      <c r="E76" s="64" t="s">
        <v>178</v>
      </c>
      <c r="F76" s="64" t="s">
        <v>182</v>
      </c>
      <c r="G76" s="85">
        <v>1</v>
      </c>
      <c r="H76" s="86"/>
    </row>
    <row r="77" spans="1:8" x14ac:dyDescent="0.3">
      <c r="A77" s="153"/>
      <c r="B77" s="63" t="s">
        <v>100</v>
      </c>
      <c r="C77" s="63" t="s">
        <v>176</v>
      </c>
      <c r="D77" s="63"/>
      <c r="E77" s="64" t="s">
        <v>179</v>
      </c>
      <c r="F77" s="64" t="s">
        <v>183</v>
      </c>
      <c r="G77" s="85">
        <v>0</v>
      </c>
      <c r="H77" s="86"/>
    </row>
    <row r="78" spans="1:8" x14ac:dyDescent="0.3">
      <c r="A78" s="153"/>
      <c r="B78" s="63"/>
      <c r="C78" s="63" t="s">
        <v>196</v>
      </c>
      <c r="D78" s="63"/>
      <c r="E78" s="64"/>
      <c r="F78" s="64" t="s">
        <v>183</v>
      </c>
      <c r="G78" s="94">
        <f>ROUND(40000/4.3*12,0)</f>
        <v>111628</v>
      </c>
      <c r="H78" s="86"/>
    </row>
    <row r="79" spans="1:8" x14ac:dyDescent="0.3">
      <c r="A79" s="153"/>
      <c r="B79" s="63"/>
      <c r="C79" s="63"/>
      <c r="D79" s="63"/>
      <c r="E79" s="64"/>
      <c r="F79" s="64"/>
      <c r="G79" s="82"/>
      <c r="H79" s="86"/>
    </row>
    <row r="80" spans="1:8" x14ac:dyDescent="0.3">
      <c r="A80" s="153"/>
      <c r="B80" s="63" t="s">
        <v>101</v>
      </c>
      <c r="C80" s="63" t="s">
        <v>181</v>
      </c>
      <c r="D80" s="63"/>
      <c r="E80" s="64" t="s">
        <v>102</v>
      </c>
      <c r="F80" s="64" t="s">
        <v>102</v>
      </c>
      <c r="G80" s="105">
        <v>100000</v>
      </c>
      <c r="H80" s="86"/>
    </row>
    <row r="81" spans="1:8" x14ac:dyDescent="0.3">
      <c r="A81" s="153"/>
      <c r="B81" s="63" t="s">
        <v>0</v>
      </c>
      <c r="C81" s="63" t="s">
        <v>191</v>
      </c>
      <c r="D81" s="63"/>
      <c r="E81" s="64"/>
      <c r="F81" s="64"/>
      <c r="G81" s="102">
        <v>0.95</v>
      </c>
      <c r="H81" s="86"/>
    </row>
    <row r="82" spans="1:8" x14ac:dyDescent="0.3">
      <c r="A82" s="153"/>
      <c r="B82" s="63"/>
      <c r="C82" s="63" t="s">
        <v>203</v>
      </c>
      <c r="D82" s="63"/>
      <c r="E82" s="64"/>
      <c r="F82" s="64"/>
      <c r="G82" s="102">
        <v>2.5000000000000001E-2</v>
      </c>
      <c r="H82" s="86"/>
    </row>
    <row r="83" spans="1:8" x14ac:dyDescent="0.3">
      <c r="A83" s="153"/>
      <c r="B83" s="63"/>
      <c r="C83" s="63" t="s">
        <v>204</v>
      </c>
      <c r="D83" s="63"/>
      <c r="E83" s="64"/>
      <c r="F83" s="64" t="s">
        <v>205</v>
      </c>
      <c r="G83" s="103">
        <v>140</v>
      </c>
      <c r="H83" s="86"/>
    </row>
    <row r="84" spans="1:8" x14ac:dyDescent="0.3">
      <c r="A84" s="153"/>
      <c r="B84" s="63"/>
      <c r="C84" s="74" t="s">
        <v>200</v>
      </c>
      <c r="D84" s="63"/>
      <c r="E84" s="64"/>
      <c r="F84" s="64"/>
      <c r="G84" s="103">
        <v>0</v>
      </c>
      <c r="H84" s="86"/>
    </row>
    <row r="85" spans="1:8" x14ac:dyDescent="0.3">
      <c r="A85" s="153"/>
      <c r="B85" s="63"/>
      <c r="C85" s="74" t="s">
        <v>207</v>
      </c>
      <c r="D85" s="63"/>
      <c r="E85" s="64"/>
      <c r="F85" s="64"/>
      <c r="G85" s="102">
        <v>0.02</v>
      </c>
      <c r="H85" s="86"/>
    </row>
    <row r="86" spans="1:8" x14ac:dyDescent="0.3">
      <c r="A86" s="153"/>
      <c r="B86" s="65"/>
      <c r="C86" s="65"/>
      <c r="D86" s="65"/>
      <c r="E86" s="66"/>
      <c r="F86" s="66"/>
      <c r="G86" s="83"/>
      <c r="H86" s="97"/>
    </row>
    <row r="87" spans="1:8" x14ac:dyDescent="0.3">
      <c r="A87" s="154" t="s">
        <v>2</v>
      </c>
      <c r="B87" s="67" t="s">
        <v>110</v>
      </c>
      <c r="C87" s="68" t="s">
        <v>187</v>
      </c>
      <c r="D87" s="63"/>
      <c r="E87" s="64" t="s">
        <v>180</v>
      </c>
      <c r="F87" s="64" t="s">
        <v>180</v>
      </c>
      <c r="G87" s="82">
        <f>G80*G75*12</f>
        <v>3600000</v>
      </c>
      <c r="H87" s="86"/>
    </row>
    <row r="88" spans="1:8" x14ac:dyDescent="0.3">
      <c r="A88" s="154" t="s">
        <v>3</v>
      </c>
      <c r="B88" s="67" t="s">
        <v>111</v>
      </c>
      <c r="C88" s="68" t="s">
        <v>188</v>
      </c>
      <c r="D88" s="63"/>
      <c r="E88" s="64" t="s">
        <v>180</v>
      </c>
      <c r="F88" s="64" t="s">
        <v>180</v>
      </c>
      <c r="G88" s="82">
        <f>G80*G76*12</f>
        <v>1200000</v>
      </c>
      <c r="H88" s="86"/>
    </row>
    <row r="89" spans="1:8" ht="15" thickBot="1" x14ac:dyDescent="0.35">
      <c r="A89" s="155" t="s">
        <v>4</v>
      </c>
      <c r="B89" s="69" t="s">
        <v>112</v>
      </c>
      <c r="C89" s="70" t="s">
        <v>186</v>
      </c>
      <c r="D89" s="71" t="s">
        <v>113</v>
      </c>
      <c r="E89" s="72" t="s">
        <v>180</v>
      </c>
      <c r="F89" s="72" t="s">
        <v>180</v>
      </c>
      <c r="G89" s="84">
        <f>G87+G88</f>
        <v>4800000</v>
      </c>
      <c r="H89" s="98"/>
    </row>
    <row r="90" spans="1:8" x14ac:dyDescent="0.3">
      <c r="A90" s="154" t="s">
        <v>114</v>
      </c>
      <c r="B90" s="63" t="s">
        <v>103</v>
      </c>
      <c r="C90" s="68" t="s">
        <v>190</v>
      </c>
      <c r="D90" s="73"/>
      <c r="E90" s="64" t="s">
        <v>180</v>
      </c>
      <c r="F90" s="64" t="s">
        <v>180</v>
      </c>
      <c r="G90" s="82">
        <f>G80*G81*G75*12</f>
        <v>3420000</v>
      </c>
      <c r="H90" s="86"/>
    </row>
    <row r="91" spans="1:8" x14ac:dyDescent="0.3">
      <c r="A91" s="154" t="s">
        <v>115</v>
      </c>
      <c r="B91" s="63" t="s">
        <v>104</v>
      </c>
      <c r="C91" s="68" t="s">
        <v>189</v>
      </c>
      <c r="D91" s="73"/>
      <c r="E91" s="64" t="s">
        <v>180</v>
      </c>
      <c r="F91" s="64" t="s">
        <v>180</v>
      </c>
      <c r="G91" s="82">
        <f>G80*G81*G76*12</f>
        <v>1140000</v>
      </c>
      <c r="H91" s="86"/>
    </row>
    <row r="92" spans="1:8" ht="15" thickBot="1" x14ac:dyDescent="0.35">
      <c r="A92" s="155" t="s">
        <v>116</v>
      </c>
      <c r="B92" s="70" t="s">
        <v>105</v>
      </c>
      <c r="C92" s="70" t="s">
        <v>201</v>
      </c>
      <c r="D92" s="71" t="s">
        <v>117</v>
      </c>
      <c r="E92" s="72" t="s">
        <v>180</v>
      </c>
      <c r="F92" s="72" t="s">
        <v>180</v>
      </c>
      <c r="G92" s="84">
        <f>G90+G91</f>
        <v>4560000</v>
      </c>
      <c r="H92" s="98"/>
    </row>
    <row r="93" spans="1:8" x14ac:dyDescent="0.3">
      <c r="A93" s="154" t="s">
        <v>118</v>
      </c>
      <c r="B93" s="63" t="s">
        <v>106</v>
      </c>
      <c r="C93" s="63" t="s">
        <v>192</v>
      </c>
      <c r="D93" s="73"/>
      <c r="E93" s="64" t="s">
        <v>180</v>
      </c>
      <c r="F93" s="64" t="s">
        <v>180</v>
      </c>
      <c r="G93" s="82">
        <f>G76*G80*12</f>
        <v>1200000</v>
      </c>
      <c r="H93" s="86">
        <f>G93/G92</f>
        <v>0.26315789473684209</v>
      </c>
    </row>
    <row r="94" spans="1:8" x14ac:dyDescent="0.3">
      <c r="A94" s="154" t="s">
        <v>119</v>
      </c>
      <c r="B94" s="63" t="s">
        <v>100</v>
      </c>
      <c r="C94" s="63" t="s">
        <v>193</v>
      </c>
      <c r="D94" s="73"/>
      <c r="E94" s="64" t="s">
        <v>180</v>
      </c>
      <c r="F94" s="64" t="s">
        <v>180</v>
      </c>
      <c r="G94" s="82">
        <f>G77</f>
        <v>0</v>
      </c>
      <c r="H94" s="86">
        <f>G94/G92</f>
        <v>0</v>
      </c>
    </row>
    <row r="95" spans="1:8" ht="15" thickBot="1" x14ac:dyDescent="0.35">
      <c r="A95" s="155" t="s">
        <v>120</v>
      </c>
      <c r="B95" s="70" t="s">
        <v>107</v>
      </c>
      <c r="C95" s="70" t="s">
        <v>194</v>
      </c>
      <c r="D95" s="71" t="s">
        <v>121</v>
      </c>
      <c r="E95" s="72" t="s">
        <v>180</v>
      </c>
      <c r="F95" s="72" t="s">
        <v>180</v>
      </c>
      <c r="G95" s="84">
        <f>G93+G94</f>
        <v>1200000</v>
      </c>
      <c r="H95" s="98">
        <f>G95/G92</f>
        <v>0.26315789473684209</v>
      </c>
    </row>
    <row r="96" spans="1:8" ht="15" thickBot="1" x14ac:dyDescent="0.35">
      <c r="A96" s="156" t="s">
        <v>122</v>
      </c>
      <c r="B96" s="76" t="s">
        <v>108</v>
      </c>
      <c r="C96" s="77" t="s">
        <v>195</v>
      </c>
      <c r="D96" s="77" t="s">
        <v>123</v>
      </c>
      <c r="E96" s="66" t="s">
        <v>180</v>
      </c>
      <c r="F96" s="77" t="s">
        <v>180</v>
      </c>
      <c r="G96" s="91">
        <f>G92-G95</f>
        <v>3360000</v>
      </c>
      <c r="H96" s="99">
        <f>G96/G92</f>
        <v>0.73684210526315785</v>
      </c>
    </row>
    <row r="97" spans="1:8" x14ac:dyDescent="0.3">
      <c r="A97" s="154" t="s">
        <v>124</v>
      </c>
      <c r="B97" s="74" t="s">
        <v>125</v>
      </c>
      <c r="C97" s="78" t="s">
        <v>196</v>
      </c>
      <c r="D97" s="73"/>
      <c r="F97" s="73"/>
      <c r="G97" s="92">
        <f>G78</f>
        <v>111628</v>
      </c>
      <c r="H97" s="100">
        <f>G97/G92</f>
        <v>2.4479824561403508E-2</v>
      </c>
    </row>
    <row r="98" spans="1:8" ht="15" thickBot="1" x14ac:dyDescent="0.35">
      <c r="A98" s="155" t="s">
        <v>126</v>
      </c>
      <c r="B98" s="75" t="s">
        <v>41</v>
      </c>
      <c r="C98" s="75" t="s">
        <v>41</v>
      </c>
      <c r="D98" s="71" t="s">
        <v>127</v>
      </c>
      <c r="E98" s="80"/>
      <c r="F98" s="71"/>
      <c r="G98" s="93">
        <f>G96-G97</f>
        <v>3248372</v>
      </c>
      <c r="H98" s="101">
        <f>G98/G92</f>
        <v>0.71236228070175434</v>
      </c>
    </row>
    <row r="99" spans="1:8" x14ac:dyDescent="0.3">
      <c r="A99" s="154" t="s">
        <v>128</v>
      </c>
      <c r="B99" s="74" t="s">
        <v>42</v>
      </c>
      <c r="C99" s="157" t="s">
        <v>197</v>
      </c>
      <c r="D99" s="73"/>
      <c r="F99" s="73"/>
      <c r="G99" s="92">
        <f>G80*G83*G82</f>
        <v>350000</v>
      </c>
      <c r="H99" s="100">
        <f>G99/G92</f>
        <v>7.6754385964912283E-2</v>
      </c>
    </row>
    <row r="100" spans="1:8" ht="15" thickBot="1" x14ac:dyDescent="0.35">
      <c r="A100" s="155" t="s">
        <v>129</v>
      </c>
      <c r="B100" s="75" t="s">
        <v>43</v>
      </c>
      <c r="C100" s="75" t="s">
        <v>43</v>
      </c>
      <c r="D100" s="71" t="s">
        <v>130</v>
      </c>
      <c r="F100" s="71"/>
      <c r="G100" s="93">
        <f>G98-G99</f>
        <v>2898372</v>
      </c>
      <c r="H100" s="101">
        <f>G100/G92</f>
        <v>0.63560789473684209</v>
      </c>
    </row>
    <row r="101" spans="1:8" x14ac:dyDescent="0.3">
      <c r="A101" s="154" t="s">
        <v>131</v>
      </c>
      <c r="B101" s="74" t="s">
        <v>132</v>
      </c>
      <c r="C101" s="157" t="s">
        <v>198</v>
      </c>
      <c r="D101" s="95">
        <f>Data!$C$7</f>
        <v>0.19</v>
      </c>
      <c r="F101" s="73"/>
      <c r="G101" s="92">
        <f>G100*D101</f>
        <v>550690.68000000005</v>
      </c>
      <c r="H101" s="100">
        <f>G101/G92</f>
        <v>0.12076550000000001</v>
      </c>
    </row>
    <row r="102" spans="1:8" ht="15" thickBot="1" x14ac:dyDescent="0.35">
      <c r="A102" s="155" t="s">
        <v>133</v>
      </c>
      <c r="B102" s="75" t="s">
        <v>134</v>
      </c>
      <c r="C102" s="75" t="s">
        <v>134</v>
      </c>
      <c r="D102" s="71" t="s">
        <v>135</v>
      </c>
      <c r="F102" s="71"/>
      <c r="G102" s="93">
        <f>G100-G101</f>
        <v>2347681.3199999998</v>
      </c>
      <c r="H102" s="101">
        <f>G102/G92</f>
        <v>0.51484239473684212</v>
      </c>
    </row>
    <row r="103" spans="1:8" x14ac:dyDescent="0.3">
      <c r="A103" s="154" t="s">
        <v>136</v>
      </c>
      <c r="B103" s="74" t="s">
        <v>42</v>
      </c>
      <c r="C103" s="74" t="str">
        <f>C99</f>
        <v>Depreciation</v>
      </c>
      <c r="D103" s="73"/>
      <c r="F103" s="73"/>
      <c r="G103" s="92">
        <f>G99</f>
        <v>350000</v>
      </c>
      <c r="H103" s="100">
        <f>G103/G92</f>
        <v>7.6754385964912283E-2</v>
      </c>
    </row>
    <row r="104" spans="1:8" x14ac:dyDescent="0.3">
      <c r="A104" s="154" t="s">
        <v>137</v>
      </c>
      <c r="B104" s="74" t="s">
        <v>138</v>
      </c>
      <c r="C104" s="74" t="s">
        <v>199</v>
      </c>
      <c r="D104" s="73"/>
      <c r="F104" s="73"/>
      <c r="G104" s="92">
        <f>G85*G96</f>
        <v>67200</v>
      </c>
      <c r="H104" s="100">
        <f>G104/G92</f>
        <v>1.4736842105263158E-2</v>
      </c>
    </row>
    <row r="105" spans="1:8" x14ac:dyDescent="0.3">
      <c r="A105" s="154" t="s">
        <v>139</v>
      </c>
      <c r="B105" s="74" t="s">
        <v>24</v>
      </c>
      <c r="C105" s="74" t="s">
        <v>200</v>
      </c>
      <c r="D105" s="73"/>
      <c r="F105" s="73"/>
      <c r="G105" s="92">
        <f>G84</f>
        <v>0</v>
      </c>
      <c r="H105" s="100">
        <f>G105/G92</f>
        <v>0</v>
      </c>
    </row>
    <row r="106" spans="1:8" ht="15" thickBot="1" x14ac:dyDescent="0.35">
      <c r="A106" s="155" t="s">
        <v>140</v>
      </c>
      <c r="B106" s="75" t="s">
        <v>44</v>
      </c>
      <c r="C106" s="71" t="s">
        <v>44</v>
      </c>
      <c r="D106" s="71" t="s">
        <v>206</v>
      </c>
      <c r="F106" s="71"/>
      <c r="G106" s="93">
        <f>G102+G103-G104-G105</f>
        <v>2630481.3199999998</v>
      </c>
      <c r="H106" s="101">
        <f>G106/G92</f>
        <v>0.57685993859649121</v>
      </c>
    </row>
    <row r="107" spans="1:8" x14ac:dyDescent="0.3">
      <c r="A107" s="158"/>
      <c r="B107" s="159"/>
      <c r="C107" s="160" t="s">
        <v>260</v>
      </c>
      <c r="D107" s="160" t="s">
        <v>208</v>
      </c>
      <c r="E107" s="161"/>
      <c r="F107" s="160"/>
      <c r="G107" s="162">
        <f>ROUND(G96/G106,2)</f>
        <v>1.28</v>
      </c>
      <c r="H107" s="163"/>
    </row>
    <row r="109" spans="1:8" ht="18" x14ac:dyDescent="0.35">
      <c r="C109" s="104" t="s">
        <v>210</v>
      </c>
    </row>
    <row r="110" spans="1:8" x14ac:dyDescent="0.3">
      <c r="A110" s="151" t="s">
        <v>184</v>
      </c>
      <c r="B110" s="87"/>
      <c r="C110" s="87"/>
      <c r="D110" s="88" t="s">
        <v>185</v>
      </c>
      <c r="E110" s="89" t="s">
        <v>97</v>
      </c>
      <c r="F110" s="89" t="s">
        <v>177</v>
      </c>
      <c r="G110" s="90" t="s">
        <v>109</v>
      </c>
      <c r="H110" s="96" t="s">
        <v>202</v>
      </c>
    </row>
    <row r="111" spans="1:8" x14ac:dyDescent="0.3">
      <c r="A111" s="152"/>
      <c r="B111" s="63" t="s">
        <v>98</v>
      </c>
      <c r="C111" s="63" t="s">
        <v>175</v>
      </c>
      <c r="D111" s="63"/>
      <c r="E111" s="64" t="s">
        <v>178</v>
      </c>
      <c r="F111" s="64" t="s">
        <v>182</v>
      </c>
      <c r="G111" s="85">
        <v>35</v>
      </c>
      <c r="H111" s="86"/>
    </row>
    <row r="112" spans="1:8" x14ac:dyDescent="0.3">
      <c r="A112" s="153"/>
      <c r="B112" s="63" t="s">
        <v>99</v>
      </c>
      <c r="C112" s="63" t="s">
        <v>174</v>
      </c>
      <c r="D112" s="63"/>
      <c r="E112" s="64" t="s">
        <v>178</v>
      </c>
      <c r="F112" s="64" t="s">
        <v>182</v>
      </c>
      <c r="G112" s="85">
        <v>20</v>
      </c>
      <c r="H112" s="86"/>
    </row>
    <row r="113" spans="1:8" x14ac:dyDescent="0.3">
      <c r="A113" s="153"/>
      <c r="B113" s="63" t="s">
        <v>100</v>
      </c>
      <c r="C113" s="63" t="s">
        <v>176</v>
      </c>
      <c r="D113" s="63"/>
      <c r="E113" s="64" t="s">
        <v>179</v>
      </c>
      <c r="F113" s="64" t="s">
        <v>183</v>
      </c>
      <c r="G113" s="85">
        <v>0</v>
      </c>
      <c r="H113" s="86"/>
    </row>
    <row r="114" spans="1:8" x14ac:dyDescent="0.3">
      <c r="A114" s="153"/>
      <c r="B114" s="63"/>
      <c r="C114" s="63" t="s">
        <v>196</v>
      </c>
      <c r="D114" s="63"/>
      <c r="E114" s="64"/>
      <c r="F114" s="64" t="s">
        <v>183</v>
      </c>
      <c r="G114" s="94">
        <f>ROUND(40000/4.3*12,0)</f>
        <v>111628</v>
      </c>
      <c r="H114" s="86"/>
    </row>
    <row r="115" spans="1:8" x14ac:dyDescent="0.3">
      <c r="A115" s="153"/>
      <c r="B115" s="63"/>
      <c r="C115" s="63"/>
      <c r="D115" s="63"/>
      <c r="E115" s="64"/>
      <c r="F115" s="64"/>
      <c r="G115" s="82"/>
      <c r="H115" s="86"/>
    </row>
    <row r="116" spans="1:8" x14ac:dyDescent="0.3">
      <c r="A116" s="153"/>
      <c r="B116" s="63" t="s">
        <v>101</v>
      </c>
      <c r="C116" s="63" t="s">
        <v>181</v>
      </c>
      <c r="D116" s="63"/>
      <c r="E116" s="64" t="s">
        <v>102</v>
      </c>
      <c r="F116" s="64" t="s">
        <v>102</v>
      </c>
      <c r="G116" s="105">
        <v>10000</v>
      </c>
      <c r="H116" s="86"/>
    </row>
    <row r="117" spans="1:8" x14ac:dyDescent="0.3">
      <c r="A117" s="153"/>
      <c r="B117" s="63" t="s">
        <v>0</v>
      </c>
      <c r="C117" s="63" t="s">
        <v>191</v>
      </c>
      <c r="D117" s="63"/>
      <c r="E117" s="64"/>
      <c r="F117" s="64"/>
      <c r="G117" s="102">
        <v>0.95</v>
      </c>
      <c r="H117" s="86"/>
    </row>
    <row r="118" spans="1:8" x14ac:dyDescent="0.3">
      <c r="A118" s="153"/>
      <c r="B118" s="63"/>
      <c r="C118" s="63" t="s">
        <v>203</v>
      </c>
      <c r="D118" s="63"/>
      <c r="E118" s="64"/>
      <c r="F118" s="64"/>
      <c r="G118" s="102">
        <v>2.5000000000000001E-2</v>
      </c>
      <c r="H118" s="86"/>
    </row>
    <row r="119" spans="1:8" x14ac:dyDescent="0.3">
      <c r="A119" s="153"/>
      <c r="B119" s="63"/>
      <c r="C119" s="63" t="s">
        <v>204</v>
      </c>
      <c r="D119" s="63"/>
      <c r="E119" s="64"/>
      <c r="F119" s="64" t="s">
        <v>205</v>
      </c>
      <c r="G119" s="103">
        <v>2300</v>
      </c>
      <c r="H119" s="86"/>
    </row>
    <row r="120" spans="1:8" x14ac:dyDescent="0.3">
      <c r="A120" s="153"/>
      <c r="B120" s="63"/>
      <c r="C120" s="74" t="s">
        <v>200</v>
      </c>
      <c r="D120" s="63"/>
      <c r="E120" s="64"/>
      <c r="F120" s="64"/>
      <c r="G120" s="103">
        <v>0</v>
      </c>
      <c r="H120" s="86"/>
    </row>
    <row r="121" spans="1:8" x14ac:dyDescent="0.3">
      <c r="A121" s="153"/>
      <c r="B121" s="63"/>
      <c r="C121" s="74" t="s">
        <v>207</v>
      </c>
      <c r="D121" s="63"/>
      <c r="E121" s="64"/>
      <c r="F121" s="64"/>
      <c r="G121" s="102">
        <v>0.02</v>
      </c>
      <c r="H121" s="86"/>
    </row>
    <row r="122" spans="1:8" x14ac:dyDescent="0.3">
      <c r="A122" s="153"/>
      <c r="B122" s="65"/>
      <c r="C122" s="65"/>
      <c r="D122" s="65"/>
      <c r="E122" s="66"/>
      <c r="F122" s="66"/>
      <c r="G122" s="83"/>
      <c r="H122" s="97"/>
    </row>
    <row r="123" spans="1:8" x14ac:dyDescent="0.3">
      <c r="A123" s="154" t="s">
        <v>2</v>
      </c>
      <c r="B123" s="67" t="s">
        <v>110</v>
      </c>
      <c r="C123" s="68" t="s">
        <v>187</v>
      </c>
      <c r="D123" s="63"/>
      <c r="E123" s="64" t="s">
        <v>180</v>
      </c>
      <c r="F123" s="64" t="s">
        <v>180</v>
      </c>
      <c r="G123" s="82">
        <f>G116*G111*12</f>
        <v>4200000</v>
      </c>
      <c r="H123" s="86"/>
    </row>
    <row r="124" spans="1:8" x14ac:dyDescent="0.3">
      <c r="A124" s="154" t="s">
        <v>3</v>
      </c>
      <c r="B124" s="67" t="s">
        <v>111</v>
      </c>
      <c r="C124" s="68" t="s">
        <v>188</v>
      </c>
      <c r="D124" s="63"/>
      <c r="E124" s="64" t="s">
        <v>180</v>
      </c>
      <c r="F124" s="64" t="s">
        <v>180</v>
      </c>
      <c r="G124" s="82">
        <f>G116*G112*12</f>
        <v>2400000</v>
      </c>
      <c r="H124" s="86"/>
    </row>
    <row r="125" spans="1:8" ht="15" thickBot="1" x14ac:dyDescent="0.35">
      <c r="A125" s="155" t="s">
        <v>4</v>
      </c>
      <c r="B125" s="69" t="s">
        <v>112</v>
      </c>
      <c r="C125" s="70" t="s">
        <v>186</v>
      </c>
      <c r="D125" s="71" t="s">
        <v>113</v>
      </c>
      <c r="E125" s="72" t="s">
        <v>180</v>
      </c>
      <c r="F125" s="72" t="s">
        <v>180</v>
      </c>
      <c r="G125" s="84">
        <f>G123+G124</f>
        <v>6600000</v>
      </c>
      <c r="H125" s="98"/>
    </row>
    <row r="126" spans="1:8" x14ac:dyDescent="0.3">
      <c r="A126" s="154" t="s">
        <v>114</v>
      </c>
      <c r="B126" s="63" t="s">
        <v>103</v>
      </c>
      <c r="C126" s="68" t="s">
        <v>190</v>
      </c>
      <c r="D126" s="73"/>
      <c r="E126" s="64" t="s">
        <v>180</v>
      </c>
      <c r="F126" s="64" t="s">
        <v>180</v>
      </c>
      <c r="G126" s="82">
        <f>G116*G117*G111*12</f>
        <v>3990000</v>
      </c>
      <c r="H126" s="86"/>
    </row>
    <row r="127" spans="1:8" x14ac:dyDescent="0.3">
      <c r="A127" s="154" t="s">
        <v>115</v>
      </c>
      <c r="B127" s="63" t="s">
        <v>104</v>
      </c>
      <c r="C127" s="68" t="s">
        <v>189</v>
      </c>
      <c r="D127" s="73"/>
      <c r="E127" s="64" t="s">
        <v>180</v>
      </c>
      <c r="F127" s="64" t="s">
        <v>180</v>
      </c>
      <c r="G127" s="82">
        <f>G116*G117*G112*12</f>
        <v>2280000</v>
      </c>
      <c r="H127" s="86"/>
    </row>
    <row r="128" spans="1:8" ht="15" thickBot="1" x14ac:dyDescent="0.35">
      <c r="A128" s="155" t="s">
        <v>116</v>
      </c>
      <c r="B128" s="70" t="s">
        <v>105</v>
      </c>
      <c r="C128" s="70" t="s">
        <v>201</v>
      </c>
      <c r="D128" s="71" t="s">
        <v>117</v>
      </c>
      <c r="E128" s="72" t="s">
        <v>180</v>
      </c>
      <c r="F128" s="72" t="s">
        <v>180</v>
      </c>
      <c r="G128" s="84">
        <f>G126+G127</f>
        <v>6270000</v>
      </c>
      <c r="H128" s="98"/>
    </row>
    <row r="129" spans="1:8" x14ac:dyDescent="0.3">
      <c r="A129" s="154" t="s">
        <v>118</v>
      </c>
      <c r="B129" s="63" t="s">
        <v>106</v>
      </c>
      <c r="C129" s="63" t="s">
        <v>192</v>
      </c>
      <c r="D129" s="73"/>
      <c r="E129" s="64" t="s">
        <v>180</v>
      </c>
      <c r="F129" s="64" t="s">
        <v>180</v>
      </c>
      <c r="G129" s="82">
        <f>G112*G116*12</f>
        <v>2400000</v>
      </c>
      <c r="H129" s="86">
        <f>G129/G128</f>
        <v>0.38277511961722488</v>
      </c>
    </row>
    <row r="130" spans="1:8" x14ac:dyDescent="0.3">
      <c r="A130" s="154" t="s">
        <v>119</v>
      </c>
      <c r="B130" s="63" t="s">
        <v>100</v>
      </c>
      <c r="C130" s="63" t="s">
        <v>193</v>
      </c>
      <c r="D130" s="73"/>
      <c r="E130" s="64" t="s">
        <v>180</v>
      </c>
      <c r="F130" s="64" t="s">
        <v>180</v>
      </c>
      <c r="G130" s="82">
        <f>G113</f>
        <v>0</v>
      </c>
      <c r="H130" s="86">
        <f>G130/G128</f>
        <v>0</v>
      </c>
    </row>
    <row r="131" spans="1:8" ht="15" thickBot="1" x14ac:dyDescent="0.35">
      <c r="A131" s="155" t="s">
        <v>120</v>
      </c>
      <c r="B131" s="70" t="s">
        <v>107</v>
      </c>
      <c r="C131" s="70" t="s">
        <v>194</v>
      </c>
      <c r="D131" s="71" t="s">
        <v>121</v>
      </c>
      <c r="E131" s="72" t="s">
        <v>180</v>
      </c>
      <c r="F131" s="72" t="s">
        <v>180</v>
      </c>
      <c r="G131" s="84">
        <f>G129+G130</f>
        <v>2400000</v>
      </c>
      <c r="H131" s="98">
        <f>G131/G128</f>
        <v>0.38277511961722488</v>
      </c>
    </row>
    <row r="132" spans="1:8" ht="15" thickBot="1" x14ac:dyDescent="0.35">
      <c r="A132" s="156" t="s">
        <v>122</v>
      </c>
      <c r="B132" s="76" t="s">
        <v>108</v>
      </c>
      <c r="C132" s="77" t="s">
        <v>195</v>
      </c>
      <c r="D132" s="77" t="s">
        <v>123</v>
      </c>
      <c r="E132" s="66" t="s">
        <v>180</v>
      </c>
      <c r="F132" s="77" t="s">
        <v>180</v>
      </c>
      <c r="G132" s="91">
        <f>G128-G131</f>
        <v>3870000</v>
      </c>
      <c r="H132" s="99">
        <f>G132/G128</f>
        <v>0.61722488038277512</v>
      </c>
    </row>
    <row r="133" spans="1:8" x14ac:dyDescent="0.3">
      <c r="A133" s="154" t="s">
        <v>124</v>
      </c>
      <c r="B133" s="74" t="s">
        <v>125</v>
      </c>
      <c r="C133" s="78" t="s">
        <v>196</v>
      </c>
      <c r="D133" s="73"/>
      <c r="F133" s="73"/>
      <c r="G133" s="92">
        <f>G114</f>
        <v>111628</v>
      </c>
      <c r="H133" s="100">
        <f>G133/G128</f>
        <v>1.7803508771929825E-2</v>
      </c>
    </row>
    <row r="134" spans="1:8" ht="15" thickBot="1" x14ac:dyDescent="0.35">
      <c r="A134" s="155" t="s">
        <v>126</v>
      </c>
      <c r="B134" s="75" t="s">
        <v>41</v>
      </c>
      <c r="C134" s="75" t="s">
        <v>41</v>
      </c>
      <c r="D134" s="71" t="s">
        <v>127</v>
      </c>
      <c r="E134" s="80"/>
      <c r="F134" s="71"/>
      <c r="G134" s="93">
        <f>G132-G133</f>
        <v>3758372</v>
      </c>
      <c r="H134" s="101">
        <f>G134/G128</f>
        <v>0.5994213716108453</v>
      </c>
    </row>
    <row r="135" spans="1:8" x14ac:dyDescent="0.3">
      <c r="A135" s="154" t="s">
        <v>128</v>
      </c>
      <c r="B135" s="74" t="s">
        <v>42</v>
      </c>
      <c r="C135" s="157" t="s">
        <v>197</v>
      </c>
      <c r="D135" s="73"/>
      <c r="F135" s="73"/>
      <c r="G135" s="92">
        <f>G116*G119*G118</f>
        <v>575000</v>
      </c>
      <c r="H135" s="100">
        <f>G135/G128</f>
        <v>9.1706539074960125E-2</v>
      </c>
    </row>
    <row r="136" spans="1:8" ht="15" thickBot="1" x14ac:dyDescent="0.35">
      <c r="A136" s="155" t="s">
        <v>129</v>
      </c>
      <c r="B136" s="75" t="s">
        <v>43</v>
      </c>
      <c r="C136" s="75" t="s">
        <v>43</v>
      </c>
      <c r="D136" s="71" t="s">
        <v>130</v>
      </c>
      <c r="F136" s="71"/>
      <c r="G136" s="93">
        <f>G134-G135</f>
        <v>3183372</v>
      </c>
      <c r="H136" s="101">
        <f>G136/G128</f>
        <v>0.50771483253588512</v>
      </c>
    </row>
    <row r="137" spans="1:8" x14ac:dyDescent="0.3">
      <c r="A137" s="154" t="s">
        <v>131</v>
      </c>
      <c r="B137" s="74" t="s">
        <v>132</v>
      </c>
      <c r="C137" s="157" t="s">
        <v>198</v>
      </c>
      <c r="D137" s="95">
        <f>Data!$C$7</f>
        <v>0.19</v>
      </c>
      <c r="F137" s="73"/>
      <c r="G137" s="92">
        <f>G136*D137</f>
        <v>604840.68000000005</v>
      </c>
      <c r="H137" s="100">
        <f>G137/G128</f>
        <v>9.6465818181818194E-2</v>
      </c>
    </row>
    <row r="138" spans="1:8" ht="15" thickBot="1" x14ac:dyDescent="0.35">
      <c r="A138" s="155" t="s">
        <v>133</v>
      </c>
      <c r="B138" s="75" t="s">
        <v>134</v>
      </c>
      <c r="C138" s="75" t="s">
        <v>134</v>
      </c>
      <c r="D138" s="71" t="s">
        <v>135</v>
      </c>
      <c r="F138" s="71"/>
      <c r="G138" s="93">
        <f>G136-G137</f>
        <v>2578531.3199999998</v>
      </c>
      <c r="H138" s="101">
        <f>G138/G128</f>
        <v>0.41124901435406697</v>
      </c>
    </row>
    <row r="139" spans="1:8" x14ac:dyDescent="0.3">
      <c r="A139" s="154" t="s">
        <v>136</v>
      </c>
      <c r="B139" s="74" t="s">
        <v>42</v>
      </c>
      <c r="C139" s="74" t="str">
        <f>C135</f>
        <v>Depreciation</v>
      </c>
      <c r="D139" s="73"/>
      <c r="F139" s="73"/>
      <c r="G139" s="92">
        <f>G135</f>
        <v>575000</v>
      </c>
      <c r="H139" s="100">
        <f>G139/G128</f>
        <v>9.1706539074960125E-2</v>
      </c>
    </row>
    <row r="140" spans="1:8" x14ac:dyDescent="0.3">
      <c r="A140" s="154" t="s">
        <v>137</v>
      </c>
      <c r="B140" s="74" t="s">
        <v>138</v>
      </c>
      <c r="C140" s="74" t="s">
        <v>199</v>
      </c>
      <c r="D140" s="73"/>
      <c r="F140" s="73"/>
      <c r="G140" s="92">
        <f>G121*G132</f>
        <v>77400</v>
      </c>
      <c r="H140" s="100">
        <f>G140/G128</f>
        <v>1.2344497607655502E-2</v>
      </c>
    </row>
    <row r="141" spans="1:8" x14ac:dyDescent="0.3">
      <c r="A141" s="154" t="s">
        <v>139</v>
      </c>
      <c r="B141" s="74" t="s">
        <v>24</v>
      </c>
      <c r="C141" s="74" t="s">
        <v>200</v>
      </c>
      <c r="D141" s="73"/>
      <c r="F141" s="73"/>
      <c r="G141" s="92">
        <f>G120</f>
        <v>0</v>
      </c>
      <c r="H141" s="100">
        <f>G141/G128</f>
        <v>0</v>
      </c>
    </row>
    <row r="142" spans="1:8" ht="15" thickBot="1" x14ac:dyDescent="0.35">
      <c r="A142" s="155" t="s">
        <v>140</v>
      </c>
      <c r="B142" s="75" t="s">
        <v>44</v>
      </c>
      <c r="C142" s="71" t="s">
        <v>44</v>
      </c>
      <c r="D142" s="71" t="s">
        <v>206</v>
      </c>
      <c r="F142" s="71"/>
      <c r="G142" s="93">
        <f>G138+G139-G140-G141</f>
        <v>3076131.32</v>
      </c>
      <c r="H142" s="101">
        <f>G142/G128</f>
        <v>0.4906110558213716</v>
      </c>
    </row>
    <row r="143" spans="1:8" x14ac:dyDescent="0.3">
      <c r="A143" s="158"/>
      <c r="B143" s="159"/>
      <c r="C143" s="160" t="s">
        <v>260</v>
      </c>
      <c r="D143" s="160" t="s">
        <v>208</v>
      </c>
      <c r="E143" s="161"/>
      <c r="F143" s="160"/>
      <c r="G143" s="162">
        <f>ROUND(G132/G142,2)</f>
        <v>1.26</v>
      </c>
      <c r="H143" s="163"/>
    </row>
  </sheetData>
  <pageMargins left="0.7" right="0.7" top="0.75" bottom="0.75" header="0.3" footer="0.3"/>
  <pageSetup paperSize="9" scale="69" fitToHeight="4" orientation="portrait" horizontalDpi="0" verticalDpi="0" r:id="rId1"/>
  <rowBreaks count="2" manualBreakCount="2">
    <brk id="35" max="7" man="1"/>
    <brk id="7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13"/>
  <sheetViews>
    <sheetView zoomScale="134" workbookViewId="0">
      <selection activeCell="E3" sqref="E3"/>
    </sheetView>
  </sheetViews>
  <sheetFormatPr defaultRowHeight="14.4" x14ac:dyDescent="0.3"/>
  <cols>
    <col min="1" max="1" width="27.33203125" style="37" customWidth="1"/>
    <col min="2" max="2" width="8.88671875" style="37"/>
    <col min="3" max="3" width="14.21875" style="37" customWidth="1"/>
    <col min="4" max="4" width="8.88671875" style="37"/>
    <col min="5" max="5" width="17" style="37" bestFit="1" customWidth="1"/>
    <col min="6" max="6" width="8.88671875" style="37"/>
    <col min="7" max="7" width="12.88671875" style="37" customWidth="1"/>
    <col min="8" max="8" width="11.109375" style="37" customWidth="1"/>
    <col min="9" max="9" width="13.77734375" style="37" customWidth="1"/>
    <col min="10" max="16384" width="8.88671875" style="37"/>
  </cols>
  <sheetData>
    <row r="1" spans="1:9" s="80" customFormat="1" x14ac:dyDescent="0.3">
      <c r="A1" s="80" t="s">
        <v>68</v>
      </c>
    </row>
    <row r="2" spans="1:9" x14ac:dyDescent="0.3">
      <c r="A2" s="107" t="s">
        <v>212</v>
      </c>
      <c r="B2" s="107" t="s">
        <v>76</v>
      </c>
      <c r="C2" s="107" t="s">
        <v>217</v>
      </c>
    </row>
    <row r="3" spans="1:9" x14ac:dyDescent="0.3">
      <c r="A3" s="116" t="s">
        <v>71</v>
      </c>
      <c r="B3" s="117">
        <v>0.06</v>
      </c>
      <c r="C3" s="33">
        <f>B3/$B$7-1</f>
        <v>0</v>
      </c>
      <c r="F3" s="111"/>
      <c r="G3" s="112"/>
      <c r="H3" s="113"/>
      <c r="I3" s="114"/>
    </row>
    <row r="4" spans="1:9" x14ac:dyDescent="0.3">
      <c r="A4" s="116" t="s">
        <v>209</v>
      </c>
      <c r="B4" s="117">
        <v>6.25E-2</v>
      </c>
      <c r="C4" s="33">
        <f>B4/$B$7-1</f>
        <v>4.1666666666666741E-2</v>
      </c>
      <c r="E4" s="113"/>
      <c r="F4" s="111"/>
      <c r="G4" s="112"/>
      <c r="H4" s="113"/>
    </row>
    <row r="5" spans="1:9" x14ac:dyDescent="0.3">
      <c r="A5" s="116" t="s">
        <v>70</v>
      </c>
      <c r="B5" s="117">
        <v>6.5000000000000002E-2</v>
      </c>
      <c r="C5" s="33">
        <f>B5/$B$7-1</f>
        <v>8.3333333333333481E-2</v>
      </c>
      <c r="E5" s="113"/>
      <c r="F5" s="111"/>
      <c r="G5" s="112"/>
      <c r="H5" s="113"/>
      <c r="I5" s="113"/>
    </row>
    <row r="6" spans="1:9" x14ac:dyDescent="0.3">
      <c r="A6" s="116" t="s">
        <v>72</v>
      </c>
      <c r="B6" s="117">
        <v>5.5E-2</v>
      </c>
      <c r="C6" s="33">
        <f>B6/$B$7-1</f>
        <v>-8.3333333333333259E-2</v>
      </c>
      <c r="E6" s="113"/>
      <c r="F6" s="111"/>
      <c r="G6" s="112"/>
      <c r="H6" s="113"/>
    </row>
    <row r="7" spans="1:9" x14ac:dyDescent="0.3">
      <c r="A7" s="108" t="s">
        <v>216</v>
      </c>
      <c r="B7" s="115">
        <f>ROUND((MAX(B3:B6)+MIN(B3:B6))/2,4)</f>
        <v>0.06</v>
      </c>
      <c r="E7" s="113"/>
      <c r="F7" s="111"/>
      <c r="G7" s="112"/>
      <c r="H7" s="113"/>
      <c r="I7" s="113"/>
    </row>
    <row r="9" spans="1:9" x14ac:dyDescent="0.3">
      <c r="B9" s="113" t="s">
        <v>67</v>
      </c>
    </row>
    <row r="10" spans="1:9" x14ac:dyDescent="0.3">
      <c r="B10" s="113" t="s">
        <v>218</v>
      </c>
    </row>
    <row r="13" spans="1:9" x14ac:dyDescent="0.3">
      <c r="A13" s="37" t="s">
        <v>254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E33F-B1B8-4E18-A4FB-B83761981437}">
  <sheetPr>
    <tabColor rgb="FFFF0000"/>
  </sheetPr>
  <dimension ref="A1:I39"/>
  <sheetViews>
    <sheetView zoomScale="135" zoomScaleNormal="100" workbookViewId="0">
      <selection activeCell="D3" sqref="D3"/>
    </sheetView>
  </sheetViews>
  <sheetFormatPr defaultRowHeight="14.4" x14ac:dyDescent="0.3"/>
  <cols>
    <col min="1" max="1" width="30.109375" style="37" customWidth="1"/>
    <col min="2" max="2" width="18.5546875" style="37" customWidth="1"/>
    <col min="3" max="3" width="15.88671875" style="37" customWidth="1"/>
    <col min="4" max="4" width="8.88671875" style="37"/>
    <col min="5" max="5" width="31.5546875" style="37" customWidth="1"/>
    <col min="6" max="6" width="8.88671875" style="37"/>
    <col min="7" max="7" width="3" style="37" customWidth="1"/>
    <col min="8" max="8" width="25.21875" style="37" customWidth="1"/>
    <col min="9" max="16384" width="8.88671875" style="37"/>
  </cols>
  <sheetData>
    <row r="1" spans="1:9" x14ac:dyDescent="0.3">
      <c r="A1" s="80" t="s">
        <v>219</v>
      </c>
    </row>
    <row r="2" spans="1:9" x14ac:dyDescent="0.3">
      <c r="A2" s="107" t="s">
        <v>212</v>
      </c>
      <c r="B2" s="107" t="s">
        <v>76</v>
      </c>
      <c r="C2" s="107" t="s">
        <v>217</v>
      </c>
      <c r="E2" s="37" t="s">
        <v>84</v>
      </c>
      <c r="H2" s="119" t="s">
        <v>85</v>
      </c>
    </row>
    <row r="3" spans="1:9" x14ac:dyDescent="0.3">
      <c r="A3" s="29" t="s">
        <v>49</v>
      </c>
      <c r="B3" s="117">
        <v>6.4500000000000002E-2</v>
      </c>
      <c r="C3" s="110">
        <f t="shared" ref="C3:C9" si="0">B3/$B$11-1</f>
        <v>-7.8571428571428625E-2</v>
      </c>
      <c r="E3" s="29" t="s">
        <v>49</v>
      </c>
      <c r="F3" s="117">
        <v>6.4500000000000002E-2</v>
      </c>
      <c r="H3" s="29" t="s">
        <v>77</v>
      </c>
      <c r="I3" s="117">
        <v>0.05</v>
      </c>
    </row>
    <row r="4" spans="1:9" x14ac:dyDescent="0.3">
      <c r="A4" s="29" t="s">
        <v>65</v>
      </c>
      <c r="B4" s="117">
        <v>7.0000000000000007E-2</v>
      </c>
      <c r="C4" s="110">
        <f t="shared" si="0"/>
        <v>0</v>
      </c>
      <c r="E4" s="29" t="s">
        <v>65</v>
      </c>
      <c r="F4" s="117">
        <v>7.0000000000000007E-2</v>
      </c>
      <c r="H4" s="29" t="s">
        <v>78</v>
      </c>
      <c r="I4" s="117">
        <v>0.05</v>
      </c>
    </row>
    <row r="5" spans="1:9" x14ac:dyDescent="0.3">
      <c r="A5" s="29" t="s">
        <v>46</v>
      </c>
      <c r="B5" s="117">
        <v>7.0000000000000007E-2</v>
      </c>
      <c r="C5" s="110">
        <f t="shared" si="0"/>
        <v>0</v>
      </c>
      <c r="E5" s="29" t="s">
        <v>46</v>
      </c>
      <c r="F5" s="117">
        <v>7.0000000000000007E-2</v>
      </c>
      <c r="H5" s="29" t="s">
        <v>79</v>
      </c>
      <c r="I5" s="117">
        <v>4.8500000000000001E-2</v>
      </c>
    </row>
    <row r="6" spans="1:9" x14ac:dyDescent="0.3">
      <c r="A6" s="29" t="s">
        <v>47</v>
      </c>
      <c r="B6" s="117">
        <v>7.1499999999999994E-2</v>
      </c>
      <c r="C6" s="110">
        <f t="shared" si="0"/>
        <v>2.1428571428571352E-2</v>
      </c>
      <c r="E6" s="29" t="s">
        <v>47</v>
      </c>
      <c r="F6" s="117">
        <v>7.1499999999999994E-2</v>
      </c>
      <c r="H6" s="29" t="s">
        <v>80</v>
      </c>
      <c r="I6" s="117">
        <v>4.4999999999999998E-2</v>
      </c>
    </row>
    <row r="7" spans="1:9" x14ac:dyDescent="0.3">
      <c r="A7" s="29" t="s">
        <v>51</v>
      </c>
      <c r="B7" s="117">
        <v>7.0000000000000007E-2</v>
      </c>
      <c r="C7" s="110">
        <f t="shared" si="0"/>
        <v>0</v>
      </c>
      <c r="E7" s="29" t="s">
        <v>51</v>
      </c>
      <c r="F7" s="117">
        <v>7.0000000000000007E-2</v>
      </c>
      <c r="H7" s="29" t="s">
        <v>81</v>
      </c>
      <c r="I7" s="117">
        <v>0.05</v>
      </c>
    </row>
    <row r="8" spans="1:9" x14ac:dyDescent="0.3">
      <c r="A8" s="29" t="s">
        <v>50</v>
      </c>
      <c r="B8" s="117">
        <v>7.0000000000000007E-2</v>
      </c>
      <c r="C8" s="110">
        <f t="shared" si="0"/>
        <v>0</v>
      </c>
      <c r="E8" s="29" t="s">
        <v>50</v>
      </c>
      <c r="F8" s="117">
        <v>7.0000000000000007E-2</v>
      </c>
      <c r="H8" s="29" t="s">
        <v>82</v>
      </c>
      <c r="I8" s="117">
        <v>4.2500000000000003E-2</v>
      </c>
    </row>
    <row r="9" spans="1:9" x14ac:dyDescent="0.3">
      <c r="A9" s="29" t="s">
        <v>48</v>
      </c>
      <c r="B9" s="117">
        <v>7.5499999999999998E-2</v>
      </c>
      <c r="C9" s="110">
        <f t="shared" si="0"/>
        <v>7.8571428571428514E-2</v>
      </c>
      <c r="E9" s="29" t="s">
        <v>48</v>
      </c>
      <c r="F9" s="117">
        <v>7.5499999999999998E-2</v>
      </c>
      <c r="H9" s="29" t="s">
        <v>83</v>
      </c>
      <c r="I9" s="117">
        <v>4.8000000000000001E-2</v>
      </c>
    </row>
    <row r="10" spans="1:9" x14ac:dyDescent="0.3">
      <c r="A10" s="29" t="s">
        <v>66</v>
      </c>
      <c r="B10" s="117">
        <v>7.0000000000000007E-2</v>
      </c>
      <c r="C10" s="110"/>
      <c r="E10" s="29" t="s">
        <v>66</v>
      </c>
      <c r="F10" s="117">
        <v>7.0000000000000007E-2</v>
      </c>
    </row>
    <row r="11" spans="1:9" x14ac:dyDescent="0.3">
      <c r="A11" s="108" t="s">
        <v>216</v>
      </c>
      <c r="B11" s="115">
        <f>(MAX(B3:B10)+MIN(B3:B10))/2</f>
        <v>7.0000000000000007E-2</v>
      </c>
      <c r="E11" s="37" t="s">
        <v>64</v>
      </c>
    </row>
    <row r="12" spans="1:9" x14ac:dyDescent="0.3">
      <c r="A12" s="118"/>
    </row>
    <row r="14" spans="1:9" hidden="1" x14ac:dyDescent="0.3">
      <c r="A14" s="107" t="s">
        <v>5</v>
      </c>
      <c r="B14" s="107" t="s">
        <v>76</v>
      </c>
      <c r="C14" s="107" t="s">
        <v>69</v>
      </c>
    </row>
    <row r="15" spans="1:9" hidden="1" x14ac:dyDescent="0.3">
      <c r="A15" s="29" t="s">
        <v>77</v>
      </c>
      <c r="B15" s="117">
        <v>0.05</v>
      </c>
      <c r="C15" s="110">
        <f>B15/$B$22-1</f>
        <v>8.1081081081081141E-2</v>
      </c>
    </row>
    <row r="16" spans="1:9" hidden="1" x14ac:dyDescent="0.3">
      <c r="A16" s="29" t="s">
        <v>78</v>
      </c>
      <c r="B16" s="117">
        <v>0.05</v>
      </c>
      <c r="C16" s="110">
        <f t="shared" ref="C16:C21" si="1">B16/$B$22-1</f>
        <v>8.1081081081081141E-2</v>
      </c>
    </row>
    <row r="17" spans="1:3" hidden="1" x14ac:dyDescent="0.3">
      <c r="A17" s="29" t="s">
        <v>79</v>
      </c>
      <c r="B17" s="117">
        <v>4.8500000000000001E-2</v>
      </c>
      <c r="C17" s="110">
        <f t="shared" si="1"/>
        <v>4.8648648648648596E-2</v>
      </c>
    </row>
    <row r="18" spans="1:3" hidden="1" x14ac:dyDescent="0.3">
      <c r="A18" s="29" t="s">
        <v>80</v>
      </c>
      <c r="B18" s="117">
        <v>4.4999999999999998E-2</v>
      </c>
      <c r="C18" s="110">
        <f t="shared" si="1"/>
        <v>-2.7027027027027084E-2</v>
      </c>
    </row>
    <row r="19" spans="1:3" hidden="1" x14ac:dyDescent="0.3">
      <c r="A19" s="29" t="s">
        <v>81</v>
      </c>
      <c r="B19" s="117">
        <v>0.05</v>
      </c>
      <c r="C19" s="110">
        <f t="shared" si="1"/>
        <v>8.1081081081081141E-2</v>
      </c>
    </row>
    <row r="20" spans="1:3" hidden="1" x14ac:dyDescent="0.3">
      <c r="A20" s="29" t="s">
        <v>82</v>
      </c>
      <c r="B20" s="117">
        <v>4.2500000000000003E-2</v>
      </c>
      <c r="C20" s="110">
        <f t="shared" si="1"/>
        <v>-8.108108108108103E-2</v>
      </c>
    </row>
    <row r="21" spans="1:3" hidden="1" x14ac:dyDescent="0.3">
      <c r="A21" s="29" t="s">
        <v>83</v>
      </c>
      <c r="B21" s="117">
        <v>4.8000000000000001E-2</v>
      </c>
      <c r="C21" s="110">
        <f t="shared" si="1"/>
        <v>3.7837837837837895E-2</v>
      </c>
    </row>
    <row r="22" spans="1:3" hidden="1" x14ac:dyDescent="0.3">
      <c r="A22" s="108" t="s">
        <v>216</v>
      </c>
      <c r="B22" s="115">
        <f>(MAX(B15:B21)+MIN(B15:B21))/2</f>
        <v>4.6249999999999999E-2</v>
      </c>
    </row>
    <row r="23" spans="1:3" hidden="1" x14ac:dyDescent="0.3"/>
    <row r="39" spans="3:3" x14ac:dyDescent="0.3">
      <c r="C39" s="37" t="s">
        <v>262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9C27-E6A3-4A5F-9850-03F59B9DF4F4}">
  <sheetPr>
    <tabColor rgb="FFFF0000"/>
  </sheetPr>
  <dimension ref="A1:C6"/>
  <sheetViews>
    <sheetView zoomScale="126" workbookViewId="0">
      <selection activeCell="E4" sqref="E4"/>
    </sheetView>
  </sheetViews>
  <sheetFormatPr defaultRowHeight="14.4" x14ac:dyDescent="0.3"/>
  <cols>
    <col min="1" max="1" width="26.44140625" style="37" customWidth="1"/>
    <col min="2" max="2" width="17.77734375" style="37" customWidth="1"/>
    <col min="3" max="3" width="14.21875" style="37" customWidth="1"/>
    <col min="4" max="16384" width="8.88671875" style="37"/>
  </cols>
  <sheetData>
    <row r="1" spans="1:3" x14ac:dyDescent="0.3">
      <c r="A1" s="80" t="s">
        <v>144</v>
      </c>
    </row>
    <row r="2" spans="1:3" x14ac:dyDescent="0.3">
      <c r="A2" s="107" t="s">
        <v>212</v>
      </c>
      <c r="B2" s="107" t="s">
        <v>261</v>
      </c>
      <c r="C2" s="120" t="s">
        <v>220</v>
      </c>
    </row>
    <row r="3" spans="1:3" x14ac:dyDescent="0.3">
      <c r="A3" s="106" t="s">
        <v>213</v>
      </c>
      <c r="B3" s="30">
        <v>15</v>
      </c>
      <c r="C3" s="33">
        <f>-(B3/$B$6-1)</f>
        <v>-7.1428571428571397E-2</v>
      </c>
    </row>
    <row r="4" spans="1:3" x14ac:dyDescent="0.3">
      <c r="A4" s="106" t="s">
        <v>214</v>
      </c>
      <c r="B4" s="30">
        <v>14</v>
      </c>
      <c r="C4" s="33">
        <f>-(B4/$B$6-1)</f>
        <v>0</v>
      </c>
    </row>
    <row r="5" spans="1:3" x14ac:dyDescent="0.3">
      <c r="A5" s="106" t="s">
        <v>215</v>
      </c>
      <c r="B5" s="30">
        <v>13</v>
      </c>
      <c r="C5" s="33">
        <f>-(B5/$B$6-1)</f>
        <v>7.1428571428571397E-2</v>
      </c>
    </row>
    <row r="6" spans="1:3" x14ac:dyDescent="0.3">
      <c r="A6" s="108" t="s">
        <v>216</v>
      </c>
      <c r="B6" s="109">
        <f>(MAX(B3:B5)+MIN(B3:B5))/2</f>
        <v>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5578-6CB5-4720-A8EC-4461E97CBE1C}">
  <sheetPr>
    <tabColor rgb="FFFF0000"/>
  </sheetPr>
  <dimension ref="A1:C7"/>
  <sheetViews>
    <sheetView zoomScale="126" workbookViewId="0">
      <selection activeCell="E1" sqref="E1"/>
    </sheetView>
  </sheetViews>
  <sheetFormatPr defaultRowHeight="14.4" x14ac:dyDescent="0.3"/>
  <cols>
    <col min="1" max="1" width="26" style="37" customWidth="1"/>
    <col min="2" max="2" width="17.44140625" style="37" customWidth="1"/>
    <col min="3" max="3" width="14.109375" style="37" customWidth="1"/>
    <col min="4" max="16384" width="8.88671875" style="37"/>
  </cols>
  <sheetData>
    <row r="1" spans="1:3" x14ac:dyDescent="0.3">
      <c r="A1" s="80" t="s">
        <v>145</v>
      </c>
    </row>
    <row r="2" spans="1:3" x14ac:dyDescent="0.3">
      <c r="A2" s="107" t="s">
        <v>212</v>
      </c>
      <c r="B2" s="107" t="s">
        <v>86</v>
      </c>
      <c r="C2" s="120" t="s">
        <v>220</v>
      </c>
    </row>
    <row r="3" spans="1:3" x14ac:dyDescent="0.3">
      <c r="A3" s="106" t="s">
        <v>221</v>
      </c>
      <c r="B3" s="30">
        <v>15</v>
      </c>
      <c r="C3" s="33">
        <f>-(B3/$B$7-1)</f>
        <v>-0.11111111111111116</v>
      </c>
    </row>
    <row r="4" spans="1:3" x14ac:dyDescent="0.3">
      <c r="A4" s="106" t="s">
        <v>222</v>
      </c>
      <c r="B4" s="30">
        <v>14</v>
      </c>
      <c r="C4" s="33">
        <f>-(B4/$B$7-1)</f>
        <v>-3.7037037037036979E-2</v>
      </c>
    </row>
    <row r="5" spans="1:3" x14ac:dyDescent="0.3">
      <c r="A5" s="106" t="s">
        <v>224</v>
      </c>
      <c r="B5" s="30">
        <v>13</v>
      </c>
      <c r="C5" s="33">
        <f>-(B5/$B$7-1)</f>
        <v>3.703703703703709E-2</v>
      </c>
    </row>
    <row r="6" spans="1:3" x14ac:dyDescent="0.3">
      <c r="A6" s="106" t="s">
        <v>223</v>
      </c>
      <c r="B6" s="30">
        <v>12</v>
      </c>
      <c r="C6" s="33">
        <f>-(B6/$B$7-1)</f>
        <v>0.11111111111111116</v>
      </c>
    </row>
    <row r="7" spans="1:3" x14ac:dyDescent="0.3">
      <c r="A7" s="108" t="s">
        <v>216</v>
      </c>
      <c r="B7" s="109">
        <f>(MAX(B3:B6)+MIN(B3:B6))/2</f>
        <v>13.5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50FA-47D5-4265-8DFE-775F3CB0AA11}">
  <sheetPr>
    <tabColor rgb="FFFF0000"/>
  </sheetPr>
  <dimension ref="A1:C7"/>
  <sheetViews>
    <sheetView zoomScale="126" workbookViewId="0">
      <selection activeCell="C10" sqref="C10"/>
    </sheetView>
  </sheetViews>
  <sheetFormatPr defaultRowHeight="14.4" x14ac:dyDescent="0.3"/>
  <cols>
    <col min="1" max="1" width="52.6640625" style="37" customWidth="1"/>
    <col min="2" max="2" width="18.5546875" style="37" customWidth="1"/>
    <col min="3" max="3" width="15.88671875" style="37" customWidth="1"/>
    <col min="4" max="16384" width="8.88671875" style="37"/>
  </cols>
  <sheetData>
    <row r="1" spans="1:3" x14ac:dyDescent="0.3">
      <c r="A1" s="80" t="s">
        <v>146</v>
      </c>
    </row>
    <row r="2" spans="1:3" x14ac:dyDescent="0.3">
      <c r="A2" s="107" t="s">
        <v>212</v>
      </c>
      <c r="B2" s="107" t="s">
        <v>76</v>
      </c>
      <c r="C2" s="107" t="s">
        <v>217</v>
      </c>
    </row>
    <row r="3" spans="1:3" x14ac:dyDescent="0.3">
      <c r="A3" s="1" t="s">
        <v>259</v>
      </c>
      <c r="B3" s="31">
        <f>(B4-B5)+B4</f>
        <v>5.7499999999999996E-2</v>
      </c>
      <c r="C3" s="110">
        <f>B3/$B$6-1</f>
        <v>9.5238095238095122E-2</v>
      </c>
    </row>
    <row r="4" spans="1:3" x14ac:dyDescent="0.3">
      <c r="A4" s="1" t="s">
        <v>226</v>
      </c>
      <c r="B4" s="121">
        <v>5.2499999999999998E-2</v>
      </c>
      <c r="C4" s="110">
        <f>B4/$B$6-1</f>
        <v>0</v>
      </c>
    </row>
    <row r="5" spans="1:3" x14ac:dyDescent="0.3">
      <c r="A5" s="1" t="s">
        <v>227</v>
      </c>
      <c r="B5" s="121">
        <v>4.7500000000000001E-2</v>
      </c>
      <c r="C5" s="110">
        <f>B5/$B$6-1</f>
        <v>-9.5238095238095233E-2</v>
      </c>
    </row>
    <row r="6" spans="1:3" x14ac:dyDescent="0.3">
      <c r="A6" s="108" t="s">
        <v>216</v>
      </c>
      <c r="B6" s="115">
        <f>(MAX(B3:B5)+MIN(B3:B5))/2</f>
        <v>5.2499999999999998E-2</v>
      </c>
    </row>
    <row r="7" spans="1:3" x14ac:dyDescent="0.3">
      <c r="A7" s="118"/>
      <c r="B7" s="111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EE6-97F8-459A-9BE8-255F84FF9A72}">
  <sheetPr>
    <tabColor rgb="FFFF0000"/>
  </sheetPr>
  <dimension ref="A1:F5"/>
  <sheetViews>
    <sheetView zoomScale="130" zoomScaleNormal="130" workbookViewId="0">
      <selection activeCell="E9" sqref="E9"/>
    </sheetView>
  </sheetViews>
  <sheetFormatPr defaultRowHeight="14.4" x14ac:dyDescent="0.3"/>
  <cols>
    <col min="1" max="1" width="33.109375" style="37" customWidth="1"/>
    <col min="2" max="4" width="8.88671875" style="37"/>
    <col min="5" max="5" width="21.44140625" style="37" customWidth="1"/>
    <col min="6" max="16384" width="8.88671875" style="37"/>
  </cols>
  <sheetData>
    <row r="1" spans="1:6" x14ac:dyDescent="0.3">
      <c r="A1" s="80" t="s">
        <v>147</v>
      </c>
    </row>
    <row r="2" spans="1:6" ht="43.2" x14ac:dyDescent="0.3">
      <c r="A2" s="124" t="s">
        <v>212</v>
      </c>
      <c r="B2" s="122" t="s">
        <v>231</v>
      </c>
      <c r="C2" s="122" t="s">
        <v>232</v>
      </c>
      <c r="D2" s="122" t="s">
        <v>233</v>
      </c>
      <c r="E2" s="122" t="s">
        <v>240</v>
      </c>
    </row>
    <row r="3" spans="1:6" x14ac:dyDescent="0.3">
      <c r="A3" s="1" t="s">
        <v>230</v>
      </c>
      <c r="B3" s="123">
        <v>2.2499999999999999E-2</v>
      </c>
      <c r="C3" s="50">
        <f>WACC!D20-B3</f>
        <v>4.2623572353380552E-2</v>
      </c>
      <c r="D3" s="50">
        <f>B3+C3</f>
        <v>6.5123572353380552E-2</v>
      </c>
      <c r="E3" s="34">
        <v>0</v>
      </c>
      <c r="F3" s="37" t="s">
        <v>225</v>
      </c>
    </row>
    <row r="4" spans="1:6" x14ac:dyDescent="0.3">
      <c r="A4" s="1" t="s">
        <v>228</v>
      </c>
      <c r="B4" s="123">
        <v>2.75E-2</v>
      </c>
      <c r="C4" s="50">
        <f>C3</f>
        <v>4.2623572353380552E-2</v>
      </c>
      <c r="D4" s="50">
        <f>B4+C4</f>
        <v>7.0123572353380556E-2</v>
      </c>
      <c r="E4" s="34">
        <f>(D4-D3)/D3</f>
        <v>7.6777114941859528E-2</v>
      </c>
    </row>
    <row r="5" spans="1:6" x14ac:dyDescent="0.3">
      <c r="A5" s="1" t="s">
        <v>229</v>
      </c>
      <c r="B5" s="123">
        <v>0.03</v>
      </c>
      <c r="C5" s="50">
        <f>C4</f>
        <v>4.2623572353380552E-2</v>
      </c>
      <c r="D5" s="50">
        <f>B5+C5</f>
        <v>7.2623572353380544E-2</v>
      </c>
      <c r="E5" s="34">
        <f>(D5-D3)/D3</f>
        <v>0.11516567241278909</v>
      </c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1FFEEB86DE24498D2D40DB267525A" ma:contentTypeVersion="10" ma:contentTypeDescription="Create a new document." ma:contentTypeScope="" ma:versionID="33787e302067178ef31551e8a76c1e77">
  <xsd:schema xmlns:xsd="http://www.w3.org/2001/XMLSchema" xmlns:xs="http://www.w3.org/2001/XMLSchema" xmlns:p="http://schemas.microsoft.com/office/2006/metadata/properties" xmlns:ns3="7eb4246f-6093-4b72-99d1-97353ffa84fb" xmlns:ns4="f97ec8c9-28cc-4886-8b17-bda15eea0f81" targetNamespace="http://schemas.microsoft.com/office/2006/metadata/properties" ma:root="true" ma:fieldsID="d8527c6418a1eb572db3f56b5f69fddb" ns3:_="" ns4:_="">
    <xsd:import namespace="7eb4246f-6093-4b72-99d1-97353ffa84fb"/>
    <xsd:import namespace="f97ec8c9-28cc-4886-8b17-bda15eea0f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4246f-6093-4b72-99d1-97353ffa84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ec8c9-28cc-4886-8b17-bda15eea0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7ec8c9-28cc-4886-8b17-bda15eea0f81" xsi:nil="true"/>
  </documentManagement>
</p:properties>
</file>

<file path=customXml/itemProps1.xml><?xml version="1.0" encoding="utf-8"?>
<ds:datastoreItem xmlns:ds="http://schemas.openxmlformats.org/officeDocument/2006/customXml" ds:itemID="{2B1418EE-97AE-45B7-BA4A-524436DEA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4246f-6093-4b72-99d1-97353ffa84fb"/>
    <ds:schemaRef ds:uri="f97ec8c9-28cc-4886-8b17-bda15eea0f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E85DE0-4508-4897-82C2-C510F2EF9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C1A86-96D7-42C6-8EB5-C91E8818DFA4}">
  <ds:schemaRefs>
    <ds:schemaRef ds:uri="http://schemas.microsoft.com/office/infopath/2007/PartnerControls"/>
    <ds:schemaRef ds:uri="http://www.w3.org/XML/1998/namespace"/>
    <ds:schemaRef ds:uri="http://purl.org/dc/terms/"/>
    <ds:schemaRef ds:uri="7eb4246f-6093-4b72-99d1-97353ffa84fb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f97ec8c9-28cc-4886-8b17-bda15eea0f8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10</vt:i4>
      </vt:variant>
    </vt:vector>
  </HeadingPairs>
  <TitlesOfParts>
    <vt:vector size="20" baseType="lpstr">
      <vt:lpstr>Data</vt:lpstr>
      <vt:lpstr>WACC</vt:lpstr>
      <vt:lpstr>NOI_FCFF</vt:lpstr>
      <vt:lpstr>Sector</vt:lpstr>
      <vt:lpstr>Location </vt:lpstr>
      <vt:lpstr>Detailed location</vt:lpstr>
      <vt:lpstr>Standard</vt:lpstr>
      <vt:lpstr>Tenants</vt:lpstr>
      <vt:lpstr>Construction</vt:lpstr>
      <vt:lpstr>Growth</vt:lpstr>
      <vt:lpstr>Construction!Obszar_wydruku</vt:lpstr>
      <vt:lpstr>Data!Obszar_wydruku</vt:lpstr>
      <vt:lpstr>'Detailed location'!Obszar_wydruku</vt:lpstr>
      <vt:lpstr>Growth!Obszar_wydruku</vt:lpstr>
      <vt:lpstr>'Location '!Obszar_wydruku</vt:lpstr>
      <vt:lpstr>NOI_FCFF!Obszar_wydruku</vt:lpstr>
      <vt:lpstr>Sector!Obszar_wydruku</vt:lpstr>
      <vt:lpstr>Standard!Obszar_wydruku</vt:lpstr>
      <vt:lpstr>Tenants!Obszar_wydruku</vt:lpstr>
      <vt:lpstr>WACC!Obszar_wydruku</vt:lpstr>
    </vt:vector>
  </TitlesOfParts>
  <Company>WZR 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Trojanowski</dc:creator>
  <cp:lastModifiedBy>Mirka Czaplińska</cp:lastModifiedBy>
  <cp:lastPrinted>2024-09-26T14:20:16Z</cp:lastPrinted>
  <dcterms:created xsi:type="dcterms:W3CDTF">2020-09-23T06:55:36Z</dcterms:created>
  <dcterms:modified xsi:type="dcterms:W3CDTF">2024-09-27T08:08:53Z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0x010100A121FFEEB86DE24498D2D40DB267525A</vt:lpwstr>
  </property>
</Properties>
</file>